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ensurge.sharepoint.com/finance/Shared Documents/Thin Film/External Reporting/2023 Interim Reports/Q1 2023/"/>
    </mc:Choice>
  </mc:AlternateContent>
  <xr:revisionPtr revIDLastSave="0" documentId="8_{91D34030-6628-44F0-8EB1-28C2AFA0DDFA}" xr6:coauthVersionLast="45" xr6:coauthVersionMax="45" xr10:uidLastSave="{00000000-0000-0000-0000-000000000000}"/>
  <bookViews>
    <workbookView xWindow="1470" yWindow="180" windowWidth="16280" windowHeight="9400" xr2:uid="{00000000-000D-0000-FFFF-FFFF00000000}"/>
  </bookViews>
  <sheets>
    <sheet name="PL" sheetId="1" r:id="rId1"/>
    <sheet name="BS" sheetId="2" r:id="rId2"/>
    <sheet name="CF" sheetId="3" r:id="rId3"/>
  </sheets>
  <externalReferences>
    <externalReference r:id="rId4"/>
  </externalReferences>
  <definedNames>
    <definedName name="_Order1" hidden="1">255</definedName>
    <definedName name="_Sort" hidden="1">#REF!</definedName>
    <definedName name="AS2DocOpenMode" hidden="1">"AS2DocumentEdit"</definedName>
    <definedName name="AS2HasNoAutoHeaderFooter" hidden="1">" "</definedName>
    <definedName name="currentPeriod">'[1]Input Period n FX'!$D$3</definedName>
    <definedName name="CY">'[1]Input Period n FX'!$B$3</definedName>
    <definedName name="CYp">'[1]Input Period n FX'!$D$3</definedName>
    <definedName name="ddddd" hidden="1">{#N/A,#N/A,FALSE,"Aging Summary";#N/A,#N/A,FALSE,"Ratio Analysis";#N/A,#N/A,FALSE,"Test 120 Day Accts";#N/A,#N/A,FALSE,"Tickmarks"}</definedName>
    <definedName name="EBcy">[1]Balance!$C$4</definedName>
    <definedName name="EBpy">[1]Balance!$D$4</definedName>
    <definedName name="k">'[1]Input Period n FX'!$F$3</definedName>
    <definedName name="_xlnm.Print_Area" localSheetId="1">BS!$B$2:$O$41</definedName>
    <definedName name="_xlnm.Print_Area" localSheetId="2">CF!$B$2:$O$40</definedName>
    <definedName name="_xlnm.Print_Area" localSheetId="0">PL!$B$2:$O$33</definedName>
    <definedName name="PriorYearPeriod">'[1]Input Period n FX'!$D$4</definedName>
    <definedName name="PY">'[1]Input Period n FX'!$B$4</definedName>
    <definedName name="Qcy">'[1]Input Period n FX'!$F$4</definedName>
    <definedName name="Qdates">'[1]Input Period n FX'!$K$4</definedName>
    <definedName name="Qend">'[1]Input Period n FX'!$L$5</definedName>
    <definedName name="Qstart">'[1]Input Period n FX'!$L$4</definedName>
    <definedName name="STATSlatestQ">'[1]Input Period n FX'!$M$4</definedName>
    <definedName name="STATSmth">'[1]Input Period n FX'!$M$3</definedName>
    <definedName name="STATSmthPY">'[1]Input Period n FX'!$M$2</definedName>
    <definedName name="STATSpyQ">'[1]Input Period n FX'!$M$5</definedName>
    <definedName name="test" hidden="1">{#N/A,#N/A,FALSE,"Aging Summary";#N/A,#N/A,FALSE,"Ratio Analysis";#N/A,#N/A,FALSE,"Test 120 Day Accts";#N/A,#N/A,FALSE,"Tickmarks"}</definedName>
    <definedName name="wrn.Aging._.and._.Trend._.Analysis." hidden="1">{#N/A,#N/A,FALSE,"Aging Summary";#N/A,#N/A,FALSE,"Ratio Analysis";#N/A,#N/A,FALSE,"Test 120 Day Accts";#N/A,#N/A,FALSE,"Tickmarks"}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35" i="3" l="1"/>
  <c r="AQ27" i="3"/>
  <c r="AQ16" i="3"/>
  <c r="AQ39" i="2"/>
  <c r="AQ25" i="2"/>
  <c r="AQ28" i="2"/>
  <c r="AQ35" i="2"/>
  <c r="AQ19" i="2"/>
  <c r="AQ21" i="2" s="1"/>
  <c r="AQ12" i="2"/>
  <c r="AQ12" i="1"/>
  <c r="AQ14" i="1" s="1"/>
  <c r="AQ17" i="1" s="1"/>
  <c r="AQ19" i="1" s="1"/>
  <c r="AQ38" i="3" l="1"/>
  <c r="AQ40" i="2"/>
  <c r="AQ41" i="2" s="1"/>
  <c r="AP39" i="3" l="1"/>
  <c r="AP35" i="3"/>
  <c r="AP27" i="3"/>
  <c r="AP16" i="3"/>
  <c r="AP39" i="2"/>
  <c r="AP40" i="2"/>
  <c r="AP25" i="2"/>
  <c r="AP35" i="2"/>
  <c r="AP28" i="2"/>
  <c r="AP19" i="2"/>
  <c r="AP12" i="2"/>
  <c r="AP38" i="3" l="1"/>
  <c r="AP40" i="3" s="1"/>
  <c r="AQ39" i="3" s="1"/>
  <c r="AQ40" i="3" s="1"/>
  <c r="AP41" i="2"/>
  <c r="AP21" i="2"/>
  <c r="AP12" i="1" l="1"/>
  <c r="AP14" i="1" s="1"/>
  <c r="AP17" i="1" s="1"/>
  <c r="AP19" i="1" s="1"/>
  <c r="AO39" i="3" l="1"/>
  <c r="AO35" i="3"/>
  <c r="AO27" i="3"/>
  <c r="AO16" i="3"/>
  <c r="AO40" i="2"/>
  <c r="AO35" i="2"/>
  <c r="AO28" i="2"/>
  <c r="AO19" i="2"/>
  <c r="AO21" i="2" s="1"/>
  <c r="AO12" i="2"/>
  <c r="AO12" i="1"/>
  <c r="AO14" i="1" s="1"/>
  <c r="AO17" i="1" s="1"/>
  <c r="AO19" i="1" s="1"/>
  <c r="AM27" i="3"/>
  <c r="AN27" i="3"/>
  <c r="AN40" i="2"/>
  <c r="AN35" i="2"/>
  <c r="AN28" i="2"/>
  <c r="AN19" i="2"/>
  <c r="AN39" i="3"/>
  <c r="AN35" i="3"/>
  <c r="AN16" i="3"/>
  <c r="AN12" i="2"/>
  <c r="AN12" i="1"/>
  <c r="AN14" i="1" s="1"/>
  <c r="AN17" i="1" s="1"/>
  <c r="AN19" i="1" s="1"/>
  <c r="AO38" i="3" l="1"/>
  <c r="AO40" i="3" s="1"/>
  <c r="AO41" i="2"/>
  <c r="AN21" i="2"/>
  <c r="AN41" i="2"/>
  <c r="AN38" i="3"/>
  <c r="AN40" i="3"/>
  <c r="AM12" i="1" l="1"/>
  <c r="AM39" i="3"/>
  <c r="AM40" i="3" s="1"/>
  <c r="AM35" i="3"/>
  <c r="AM16" i="3"/>
  <c r="AM25" i="2"/>
  <c r="AM12" i="2"/>
  <c r="AM14" i="1" l="1"/>
  <c r="AM17" i="1" s="1"/>
  <c r="AM19" i="1" s="1"/>
  <c r="AL39" i="3" l="1"/>
  <c r="AK10" i="3"/>
  <c r="AL40" i="3"/>
  <c r="AL35" i="3"/>
  <c r="AL16" i="3"/>
  <c r="AL12" i="2"/>
  <c r="AL12" i="1" l="1"/>
  <c r="AL14" i="1" s="1"/>
  <c r="AL17" i="1" s="1"/>
  <c r="AL19" i="1" s="1"/>
  <c r="AK35" i="3" l="1"/>
  <c r="AK16" i="3"/>
  <c r="AK12" i="2"/>
  <c r="AK40" i="3" l="1"/>
  <c r="AK12" i="1"/>
  <c r="AK14" i="1" l="1"/>
  <c r="AK17" i="1" s="1"/>
  <c r="AK19" i="1" s="1"/>
  <c r="AG16" i="3"/>
  <c r="AG35" i="3"/>
  <c r="AG39" i="3"/>
  <c r="AG40" i="3" s="1"/>
  <c r="AG12" i="1" l="1"/>
  <c r="AG14" i="1" s="1"/>
  <c r="AF12" i="1"/>
  <c r="AE12" i="1"/>
  <c r="AG28" i="2" l="1"/>
  <c r="AG17" i="1"/>
  <c r="AG19" i="1" s="1"/>
  <c r="AF14" i="3" l="1"/>
  <c r="AF25" i="2" l="1"/>
  <c r="AF33" i="1" l="1"/>
  <c r="AE33" i="1" l="1"/>
  <c r="AD19" i="1" l="1"/>
  <c r="AD33" i="1" l="1"/>
  <c r="AA16" i="3" l="1"/>
  <c r="U35" i="3" l="1"/>
  <c r="T35" i="3"/>
  <c r="S35" i="3"/>
  <c r="R35" i="3"/>
  <c r="Q35" i="3"/>
  <c r="P35" i="3"/>
  <c r="O35" i="3"/>
  <c r="N35" i="3"/>
  <c r="M35" i="3"/>
  <c r="L35" i="3"/>
  <c r="K35" i="3"/>
  <c r="I35" i="3"/>
  <c r="H35" i="3"/>
  <c r="G35" i="3"/>
  <c r="F35" i="3"/>
  <c r="E35" i="3"/>
  <c r="D35" i="3"/>
  <c r="C35" i="3"/>
  <c r="V35" i="3"/>
  <c r="V27" i="3"/>
  <c r="V16" i="3"/>
  <c r="V35" i="2"/>
  <c r="V28" i="2"/>
  <c r="V19" i="2"/>
  <c r="V21" i="2" s="1"/>
  <c r="V9" i="1"/>
  <c r="V14" i="1" s="1"/>
  <c r="V17" i="1" s="1"/>
  <c r="V19" i="1" s="1"/>
  <c r="V41" i="2" l="1"/>
  <c r="V38" i="3"/>
  <c r="V40" i="3" s="1"/>
  <c r="V33" i="1" l="1"/>
  <c r="O37" i="3"/>
  <c r="J37" i="3"/>
  <c r="J30" i="3"/>
  <c r="J35" i="3" s="1"/>
  <c r="U27" i="3"/>
  <c r="T27" i="3"/>
  <c r="S27" i="3"/>
  <c r="R27" i="3"/>
  <c r="Q27" i="3"/>
  <c r="P27" i="3"/>
  <c r="O27" i="3"/>
  <c r="N27" i="3"/>
  <c r="M27" i="3"/>
  <c r="L27" i="3"/>
  <c r="K27" i="3"/>
  <c r="I27" i="3"/>
  <c r="H27" i="3"/>
  <c r="G27" i="3"/>
  <c r="F27" i="3"/>
  <c r="E27" i="3"/>
  <c r="D27" i="3"/>
  <c r="C27" i="3"/>
  <c r="J19" i="3"/>
  <c r="J27" i="3" s="1"/>
  <c r="U16" i="3"/>
  <c r="T16" i="3"/>
  <c r="S16" i="3"/>
  <c r="R16" i="3"/>
  <c r="Q16" i="3"/>
  <c r="P16" i="3"/>
  <c r="O16" i="3"/>
  <c r="N16" i="3"/>
  <c r="M16" i="3"/>
  <c r="L16" i="3"/>
  <c r="K16" i="3"/>
  <c r="F16" i="3"/>
  <c r="F38" i="3" s="1"/>
  <c r="F40" i="3" s="1"/>
  <c r="E16" i="3"/>
  <c r="E38" i="3" s="1"/>
  <c r="E40" i="3" s="1"/>
  <c r="D16" i="3"/>
  <c r="D38" i="3" s="1"/>
  <c r="D40" i="3" s="1"/>
  <c r="C16" i="3"/>
  <c r="C38" i="3" s="1"/>
  <c r="C40" i="3" s="1"/>
  <c r="J15" i="3"/>
  <c r="J16" i="3" s="1"/>
  <c r="I15" i="3"/>
  <c r="I16" i="3" s="1"/>
  <c r="I38" i="3" s="1"/>
  <c r="I40" i="3" s="1"/>
  <c r="H15" i="3"/>
  <c r="H16" i="3" s="1"/>
  <c r="H38" i="3" s="1"/>
  <c r="H40" i="3" s="1"/>
  <c r="G15" i="3"/>
  <c r="G16" i="3" s="1"/>
  <c r="U35" i="2"/>
  <c r="T35" i="2"/>
  <c r="S35" i="2"/>
  <c r="R35" i="2"/>
  <c r="Q35" i="2"/>
  <c r="P35" i="2"/>
  <c r="O35" i="2"/>
  <c r="N35" i="2"/>
  <c r="M35" i="2"/>
  <c r="L35" i="2"/>
  <c r="K35" i="2"/>
  <c r="J35" i="2"/>
  <c r="I35" i="2"/>
  <c r="H35" i="2"/>
  <c r="G35" i="2"/>
  <c r="F35" i="2"/>
  <c r="E35" i="2"/>
  <c r="D35" i="2"/>
  <c r="C35" i="2"/>
  <c r="U28" i="2"/>
  <c r="T28" i="2"/>
  <c r="S28" i="2"/>
  <c r="R28" i="2"/>
  <c r="Q28" i="2"/>
  <c r="P28" i="2"/>
  <c r="O28" i="2"/>
  <c r="N28" i="2"/>
  <c r="M28" i="2"/>
  <c r="L28" i="2"/>
  <c r="K28" i="2"/>
  <c r="J28" i="2"/>
  <c r="I28" i="2"/>
  <c r="H28" i="2"/>
  <c r="G28" i="2"/>
  <c r="F28" i="2"/>
  <c r="E28" i="2"/>
  <c r="D28" i="2"/>
  <c r="C28" i="2"/>
  <c r="U19" i="2"/>
  <c r="T19" i="2"/>
  <c r="S19" i="2"/>
  <c r="R19" i="2"/>
  <c r="Q19" i="2"/>
  <c r="P19" i="2"/>
  <c r="N19" i="2"/>
  <c r="M19" i="2"/>
  <c r="L19" i="2"/>
  <c r="K19" i="2"/>
  <c r="J19" i="2"/>
  <c r="I19" i="2"/>
  <c r="H19" i="2"/>
  <c r="G19" i="2"/>
  <c r="F19" i="2"/>
  <c r="E19" i="2"/>
  <c r="D19" i="2"/>
  <c r="C19" i="2"/>
  <c r="O15" i="2"/>
  <c r="O19" i="2" s="1"/>
  <c r="U12" i="2"/>
  <c r="T12" i="2"/>
  <c r="S12" i="2"/>
  <c r="R12" i="2"/>
  <c r="Q12" i="2"/>
  <c r="P12" i="2"/>
  <c r="O12" i="2"/>
  <c r="N12" i="2"/>
  <c r="M12" i="2"/>
  <c r="L12" i="2"/>
  <c r="K12" i="2"/>
  <c r="J12" i="2"/>
  <c r="I12" i="2"/>
  <c r="H12" i="2"/>
  <c r="G12" i="2"/>
  <c r="F12" i="2"/>
  <c r="E12" i="2"/>
  <c r="D12" i="2"/>
  <c r="C12" i="2"/>
  <c r="U33" i="1"/>
  <c r="T33" i="1"/>
  <c r="S33" i="1"/>
  <c r="R33" i="1"/>
  <c r="Q33" i="1"/>
  <c r="P33" i="1"/>
  <c r="O33" i="1"/>
  <c r="N33" i="1"/>
  <c r="M33" i="1"/>
  <c r="L33" i="1"/>
  <c r="K33" i="1"/>
  <c r="J33" i="1"/>
  <c r="I33" i="1"/>
  <c r="H33" i="1"/>
  <c r="G33" i="1"/>
  <c r="U9" i="1"/>
  <c r="U14" i="1" s="1"/>
  <c r="U17" i="1" s="1"/>
  <c r="U19" i="1" s="1"/>
  <c r="T9" i="1"/>
  <c r="T14" i="1" s="1"/>
  <c r="T17" i="1" s="1"/>
  <c r="T19" i="1" s="1"/>
  <c r="S9" i="1"/>
  <c r="S14" i="1" s="1"/>
  <c r="S17" i="1" s="1"/>
  <c r="S19" i="1" s="1"/>
  <c r="R9" i="1"/>
  <c r="R14" i="1" s="1"/>
  <c r="R17" i="1" s="1"/>
  <c r="R19" i="1" s="1"/>
  <c r="Q9" i="1"/>
  <c r="Q14" i="1" s="1"/>
  <c r="Q17" i="1" s="1"/>
  <c r="Q19" i="1" s="1"/>
  <c r="P9" i="1"/>
  <c r="P14" i="1" s="1"/>
  <c r="P17" i="1" s="1"/>
  <c r="P19" i="1" s="1"/>
  <c r="O9" i="1"/>
  <c r="O14" i="1" s="1"/>
  <c r="O17" i="1" s="1"/>
  <c r="O19" i="1" s="1"/>
  <c r="N9" i="1"/>
  <c r="N14" i="1" s="1"/>
  <c r="N17" i="1" s="1"/>
  <c r="N19" i="1" s="1"/>
  <c r="M9" i="1"/>
  <c r="M14" i="1" s="1"/>
  <c r="M17" i="1" s="1"/>
  <c r="M19" i="1" s="1"/>
  <c r="L9" i="1"/>
  <c r="L14" i="1" s="1"/>
  <c r="L17" i="1" s="1"/>
  <c r="L19" i="1" s="1"/>
  <c r="K9" i="1"/>
  <c r="K14" i="1" s="1"/>
  <c r="K17" i="1" s="1"/>
  <c r="K19" i="1" s="1"/>
  <c r="J9" i="1"/>
  <c r="J14" i="1" s="1"/>
  <c r="J17" i="1" s="1"/>
  <c r="J19" i="1" s="1"/>
  <c r="I9" i="1"/>
  <c r="I14" i="1" s="1"/>
  <c r="I17" i="1" s="1"/>
  <c r="I19" i="1" s="1"/>
  <c r="H9" i="1"/>
  <c r="H14" i="1" s="1"/>
  <c r="H17" i="1" s="1"/>
  <c r="H19" i="1" s="1"/>
  <c r="G9" i="1"/>
  <c r="G14" i="1" s="1"/>
  <c r="G17" i="1" s="1"/>
  <c r="G19" i="1" s="1"/>
  <c r="F9" i="1"/>
  <c r="F14" i="1" s="1"/>
  <c r="F17" i="1" s="1"/>
  <c r="F19" i="1" s="1"/>
  <c r="E9" i="1"/>
  <c r="E14" i="1" s="1"/>
  <c r="E17" i="1" s="1"/>
  <c r="E19" i="1" s="1"/>
  <c r="D9" i="1"/>
  <c r="D14" i="1" s="1"/>
  <c r="D17" i="1" s="1"/>
  <c r="D19" i="1" s="1"/>
  <c r="C9" i="1"/>
  <c r="C14" i="1" s="1"/>
  <c r="C17" i="1" s="1"/>
  <c r="C19" i="1" s="1"/>
  <c r="G38" i="3" l="1"/>
  <c r="G40" i="3" s="1"/>
  <c r="E41" i="2"/>
  <c r="I41" i="2"/>
  <c r="M41" i="2"/>
  <c r="Q41" i="2"/>
  <c r="U41" i="2"/>
  <c r="K38" i="3"/>
  <c r="K40" i="3" s="1"/>
  <c r="O38" i="3"/>
  <c r="O40" i="3" s="1"/>
  <c r="S38" i="3"/>
  <c r="S40" i="3" s="1"/>
  <c r="D41" i="2"/>
  <c r="H41" i="2"/>
  <c r="L41" i="2"/>
  <c r="P41" i="2"/>
  <c r="T41" i="2"/>
  <c r="F41" i="2"/>
  <c r="N41" i="2"/>
  <c r="C41" i="2"/>
  <c r="G41" i="2"/>
  <c r="K41" i="2"/>
  <c r="O41" i="2"/>
  <c r="S41" i="2"/>
  <c r="J41" i="2"/>
  <c r="R41" i="2"/>
  <c r="P38" i="3"/>
  <c r="P40" i="3" s="1"/>
  <c r="T38" i="3"/>
  <c r="T40" i="3" s="1"/>
  <c r="M38" i="3"/>
  <c r="M40" i="3" s="1"/>
  <c r="Q38" i="3"/>
  <c r="Q40" i="3" s="1"/>
  <c r="U38" i="3"/>
  <c r="U40" i="3" s="1"/>
  <c r="D21" i="2"/>
  <c r="H21" i="2"/>
  <c r="L21" i="2"/>
  <c r="P21" i="2"/>
  <c r="T21" i="2"/>
  <c r="E21" i="2"/>
  <c r="I21" i="2"/>
  <c r="M21" i="2"/>
  <c r="Q21" i="2"/>
  <c r="U21" i="2"/>
  <c r="F21" i="2"/>
  <c r="J21" i="2"/>
  <c r="N21" i="2"/>
  <c r="R21" i="2"/>
  <c r="L38" i="3"/>
  <c r="L40" i="3" s="1"/>
  <c r="C21" i="2"/>
  <c r="G21" i="2"/>
  <c r="K21" i="2"/>
  <c r="O21" i="2"/>
  <c r="S21" i="2"/>
  <c r="J38" i="3"/>
  <c r="J40" i="3" s="1"/>
  <c r="N38" i="3"/>
  <c r="N40" i="3" s="1"/>
  <c r="R38" i="3"/>
  <c r="R40" i="3" s="1"/>
</calcChain>
</file>

<file path=xl/sharedStrings.xml><?xml version="1.0" encoding="utf-8"?>
<sst xmlns="http://schemas.openxmlformats.org/spreadsheetml/2006/main" count="219" uniqueCount="133">
  <si>
    <t>[kUSD]</t>
  </si>
  <si>
    <t>Profit and Loss</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</si>
  <si>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</si>
  <si>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</si>
  <si>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</si>
  <si>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</si>
  <si>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</si>
  <si>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</si>
  <si>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</si>
  <si>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</si>
  <si>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</si>
  <si>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</si>
  <si>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</si>
  <si>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</si>
  <si>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</si>
  <si>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</si>
  <si>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</si>
  <si>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</si>
  <si>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</si>
  <si>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</si>
  <si>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</si>
  <si>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</si>
  <si>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</si>
  <si>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</si>
  <si>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</si>
  <si>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</si>
  <si>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</si>
  <si>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</si>
  <si>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</si>
  <si>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</si>
  <si>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</si>
  <si>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</si>
  <si>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</si>
  <si>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</si>
  <si>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</si>
  <si>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</si>
  <si>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</si>
  <si>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</si>
  <si>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</si>
  <si>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</si>
  <si>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Sales Revenue</t>
  </si>
  <si>
    <t>Other revenue *</t>
  </si>
  <si>
    <t>Other income *</t>
  </si>
  <si>
    <t>Total Revenue &amp; Other Income</t>
  </si>
  <si>
    <t>Operating costs</t>
  </si>
  <si>
    <t>EBITDA</t>
  </si>
  <si>
    <t>Depreciation, amortization and impairment loss</t>
  </si>
  <si>
    <t>Operating profit (loss)</t>
  </si>
  <si>
    <t>Net financial items</t>
  </si>
  <si>
    <t>Profit (loss) before income tax</t>
  </si>
  <si>
    <t>Income tax expense</t>
  </si>
  <si>
    <t>Profit (loss) for the period</t>
  </si>
  <si>
    <t>Earnings per share</t>
  </si>
  <si>
    <t>Weighted average number of shares in the quarter</t>
  </si>
  <si>
    <t>post 9:1 share consolidation</t>
  </si>
  <si>
    <t>Full Time Equivalents at end of quarter (employees)</t>
  </si>
  <si>
    <t>Cost split as per quarterly report</t>
  </si>
  <si>
    <t>Payroll</t>
  </si>
  <si>
    <t>Share based remuneration</t>
  </si>
  <si>
    <t>Services</t>
  </si>
  <si>
    <t>Premises, supplies</t>
  </si>
  <si>
    <t>Sales and marketing</t>
  </si>
  <si>
    <t>Other expenses</t>
  </si>
  <si>
    <t>Total operating costs</t>
  </si>
  <si>
    <t>*: Up to and including 2017, government grants have been recognized as Other revenue. As of 2018, government grants are recognized as Other Income. Refer to Footnote 2 of Q2 2018 Condensed Consolidated Financial Report for further information.</t>
  </si>
  <si>
    <t>Balance Sheet</t>
  </si>
  <si>
    <t>Non-current assets</t>
  </si>
  <si>
    <t>Property, plant and equipment</t>
  </si>
  <si>
    <t>Financial lease</t>
  </si>
  <si>
    <t>Intangible assets</t>
  </si>
  <si>
    <t>Other financial receivables</t>
  </si>
  <si>
    <t>Total non-current assets</t>
  </si>
  <si>
    <t>Current assets</t>
  </si>
  <si>
    <t>Other receivables</t>
  </si>
  <si>
    <t>Inventory</t>
  </si>
  <si>
    <t>Asset held for sale</t>
  </si>
  <si>
    <t>Bank deposits, cash</t>
  </si>
  <si>
    <t>Total current assets</t>
  </si>
  <si>
    <t>Total assets</t>
  </si>
  <si>
    <t>Equity</t>
  </si>
  <si>
    <t>Ordinary shares</t>
  </si>
  <si>
    <t>Other paid-in equity</t>
  </si>
  <si>
    <t>Currency translation</t>
  </si>
  <si>
    <t>Retained earnings</t>
  </si>
  <si>
    <t>Total equity</t>
  </si>
  <si>
    <t>Liabilities</t>
  </si>
  <si>
    <t>Non-current liabilities</t>
  </si>
  <si>
    <t>Deferred tax liabilities</t>
  </si>
  <si>
    <t>Long-term debt</t>
  </si>
  <si>
    <t>Long-term financial lease liabilities</t>
  </si>
  <si>
    <t>Total non-current liabilities</t>
  </si>
  <si>
    <t>Current liabilities</t>
  </si>
  <si>
    <t>Trade and other payables</t>
  </si>
  <si>
    <t>Warrants liability</t>
  </si>
  <si>
    <t>Current portion of long-term debt</t>
  </si>
  <si>
    <t>Total current liabilities</t>
  </si>
  <si>
    <t>Total equity and liabilities</t>
  </si>
  <si>
    <t>Cash Flow Statement</t>
  </si>
  <si>
    <t>CASH FLOW FROM OPERATING ACTIVITIES</t>
  </si>
  <si>
    <t>Share based payment</t>
  </si>
  <si>
    <t>Depreciation and amortization</t>
  </si>
  <si>
    <t>Write down inventory, machinery and intangible assets</t>
  </si>
  <si>
    <t>Loss on sale of fixed assets</t>
  </si>
  <si>
    <t>Taxes paid for the period</t>
  </si>
  <si>
    <t>Changes in working capital and non-cash items</t>
  </si>
  <si>
    <t>Net cash from operating activities</t>
  </si>
  <si>
    <t>CASH FLOW FROM INVESTING ACTIVITIES</t>
  </si>
  <si>
    <t>Purchase of property, plant and equipment</t>
  </si>
  <si>
    <t>Prepayments relating to purchase of property, plant and equipment</t>
  </si>
  <si>
    <t>Finance lease payments</t>
  </si>
  <si>
    <t>Purchase of intangible assets</t>
  </si>
  <si>
    <t>Acquisition of business activity</t>
  </si>
  <si>
    <t>Capitalized development expenses</t>
  </si>
  <si>
    <t>Proceeds from sale of fixed assets</t>
  </si>
  <si>
    <t>Interest received</t>
  </si>
  <si>
    <t>Net cash from investing activities</t>
  </si>
  <si>
    <t>CASH FLOW FROM FINANCING ACTIVITIES</t>
  </si>
  <si>
    <t>Proceeds from issuance of shares</t>
  </si>
  <si>
    <t>Proceeds from debt financing</t>
  </si>
  <si>
    <t>Deposits</t>
  </si>
  <si>
    <t>Interest paid</t>
  </si>
  <si>
    <t>Lease payments</t>
  </si>
  <si>
    <t>Net cash from financing activities</t>
  </si>
  <si>
    <t>Currency translation effects on cash and bank deposits</t>
  </si>
  <si>
    <t>Net increase (decrease) in cash and bank deposits</t>
  </si>
  <si>
    <t>Cash and bank deposits at the beginning of the period</t>
  </si>
  <si>
    <t xml:space="preserve">CASH AND BANK DEPOSITS AT THE END OF THE PERIOD  </t>
  </si>
  <si>
    <t>Q3 2022</t>
  </si>
  <si>
    <r>
      <rPr>
        <b/>
        <i/>
        <u/>
        <sz val="11"/>
        <color theme="1"/>
        <rFont val="Calibri"/>
        <family val="2"/>
        <scheme val="minor"/>
      </rPr>
      <t>Note</t>
    </r>
    <r>
      <rPr>
        <i/>
        <sz val="11"/>
        <color theme="1"/>
        <rFont val="Calibri"/>
        <family val="2"/>
        <scheme val="minor"/>
      </rPr>
      <t>: this un-audited translation of historical financials (from NOK to USD) is made available for the convenience of investors and analysts. For more detailed information, and in the event of discrepancies, the quarterly and annual reports, are available at ensurge.com, take precedence.</t>
    </r>
  </si>
  <si>
    <r>
      <rPr>
        <b/>
        <i/>
        <u/>
        <sz val="11"/>
        <color theme="1"/>
        <rFont val="Calibri"/>
        <family val="2"/>
        <scheme val="minor"/>
      </rPr>
      <t>Note</t>
    </r>
    <r>
      <rPr>
        <i/>
        <sz val="11"/>
        <color theme="1"/>
        <rFont val="Calibri"/>
        <family val="2"/>
        <scheme val="minor"/>
      </rPr>
      <t>: this un-audited translation of historical financials (from NOK to USD) is made available for the convenience of investors and analysts. For more detailed information, and in the event of discrepancies, the quarterly and annual reports, are available at Ensurge.com, take precedence.</t>
    </r>
  </si>
  <si>
    <r>
      <rPr>
        <b/>
        <i/>
        <u/>
        <sz val="11"/>
        <color theme="1"/>
        <rFont val="Calibri"/>
        <family val="2"/>
        <scheme val="minor"/>
      </rPr>
      <t>Note</t>
    </r>
    <r>
      <rPr>
        <b/>
        <i/>
        <sz val="11"/>
        <color theme="1"/>
        <rFont val="Calibri"/>
        <family val="2"/>
        <scheme val="minor"/>
      </rPr>
      <t>:</t>
    </r>
    <r>
      <rPr>
        <i/>
        <sz val="11"/>
        <color theme="1"/>
        <rFont val="Calibri"/>
        <family val="2"/>
        <scheme val="minor"/>
      </rPr>
      <t xml:space="preserve"> this un-audited translation of historical financials (from NOK to USD) is made available for the convenience of investors and analysts. For more detailed information, and in the event of discrepancies, the quarterly and annual reports, are available at Ensurge.com, take precedence.</t>
    </r>
  </si>
  <si>
    <t>Q4 2022</t>
  </si>
  <si>
    <t>Q1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</si>
</sst>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 #,##0.00_ ;_ * \-#,##0.00_ ;_ * &quot;-&quot;??_ ;_ @_ "/>
    <numFmt numFmtId="165" formatCode="_(* #,##0_);_(* \(#,##0\);_(* &quot;-&quot;??_);_(@_)"/>
    <numFmt numFmtId="166" formatCode="_ * #,##0_ ;_ * \-#,##0_ ;_ * &quot;-&quot;??_ ;_ @_ "/>
    <numFmt numFmtId="167" formatCode="0.00_);\(0.00\)"/>
  </numFmts>
  <fonts count="19"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color rgb="FF00B0F0"/>
      <name val="Calibri"/>
      <family val="2"/>
      <scheme val="minor"/>
    </font>
    <font>
      <sz val="10"/>
      <name val="Arial"/>
      <family val="2"/>
    </font>
    <font>
      <b/>
      <u/>
      <sz val="11"/>
      <name val="Calibri"/>
      <family val="2"/>
      <scheme val="minor"/>
    </font>
    <font>
      <sz val="11"/>
      <name val="Calibri"/>
      <family val="2"/>
      <scheme val="minor"/>
    </font>
    <font>
      <u/>
      <sz val="11"/>
      <color theme="1"/>
      <name val="Calibri"/>
      <family val="2"/>
      <scheme val="minor"/>
    </font>
    <font>
      <b/>
      <i/>
      <u/>
      <sz val="11"/>
      <color theme="1"/>
      <name val="Calibri"/>
      <family val="2"/>
      <scheme val="minor"/>
    </font>
    <font>
      <b/>
      <u/>
      <sz val="10"/>
      <name val="Arial"/>
      <family val="2"/>
    </font>
    <font>
      <i/>
      <sz val="10"/>
      <name val="Arial"/>
      <family val="2"/>
    </font>
    <font>
      <sz val="10"/>
      <color rgb="FF00B0F0"/>
      <name val="Arial"/>
      <family val="2"/>
    </font>
    <font>
      <b/>
      <sz val="10"/>
      <name val="Arial"/>
      <family val="2"/>
    </font>
    <font>
      <sz val="5"/>
      <color rgb="FF111111"/>
      <name val="Arial"/>
      <family val="2"/>
    </font>
    <font>
      <sz val="10"/>
      <name val="Verdana"/>
      <family val="2"/>
    </font>
    <font>
      <sz val="8.5"/>
      <color rgb="FF111111"/>
      <name val="Arial"/>
      <family val="2"/>
    </font>
    <font>
      <b/>
      <i/>
      <sz val="11"/>
      <color theme="1"/>
      <name val="Calibri"/>
      <family val="2"/>
      <scheme val="minor"/>
    </font>
    <font>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rgb="FF000000"/>
      </patternFill>
    </fill>
  </fills>
  <borders count="8">
    <border>
      <left/>
      <right/>
      <top/>
      <bottom/>
      <diagonal/>
    </border>
    <border>
      <left/>
      <right/>
      <top/>
      <bottom style="thin">
        <color auto="1"/>
      </bottom>
      <diagonal/>
    </border>
    <border>
      <left/>
      <right/>
      <top style="thin">
        <color indexed="64"/>
      </top>
      <bottom style="double">
        <color indexed="64"/>
      </bottom>
      <diagonal/>
    </border>
    <border>
      <left/>
      <right/>
      <top style="double">
        <color indexed="64"/>
      </top>
      <bottom style="medium">
        <color indexed="64"/>
      </bottom>
      <diagonal/>
    </border>
    <border>
      <left/>
      <right/>
      <top/>
      <bottom style="double">
        <color indexed="64"/>
      </bottom>
      <diagonal/>
    </border>
    <border>
      <left style="thin">
        <color auto="1"/>
      </left>
      <right/>
      <top/>
      <bottom/>
      <diagonal/>
    </border>
    <border>
      <left/>
      <right/>
      <top style="thin">
        <color indexed="64"/>
      </top>
      <bottom style="thin">
        <color indexed="64"/>
      </bottom>
      <diagonal/>
    </border>
    <border>
      <left/>
      <right/>
      <top/>
      <bottom style="thin">
        <color rgb="FF000000"/>
      </bottom>
      <diagonal/>
    </border>
  </borders>
  <cellStyleXfs count="6">
    <xf numFmtId="0" fontId="0" fillId="0" borderId="0"/>
    <xf numFmtId="164" fontId="1"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cellStyleXfs>
  <cellXfs count="89">
    <xf numFmtId="0" fontId="0" fillId="0" borderId="0" xfId="0"/>
    <xf numFmtId="0" fontId="0" fillId="2" borderId="0" xfId="0" applyFill="1"/>
    <xf numFmtId="0" fontId="3" fillId="0" borderId="0" xfId="0" applyFont="1" applyAlignment="1">
      <alignment horizontal="center"/>
    </xf>
    <xf numFmtId="0" fontId="4" fillId="2" borderId="0" xfId="0" applyFont="1" applyFill="1" applyAlignment="1">
      <alignment horizontal="center"/>
    </xf>
    <xf numFmtId="0" fontId="3" fillId="4" borderId="0" xfId="0" applyFont="1" applyFill="1" applyAlignment="1">
      <alignment horizontal="center"/>
    </xf>
    <xf numFmtId="0" fontId="0" fillId="4" borderId="0" xfId="0" applyFill="1"/>
    <xf numFmtId="0" fontId="4" fillId="4" borderId="0" xfId="0" applyFont="1" applyFill="1" applyAlignment="1">
      <alignment horizontal="center"/>
    </xf>
    <xf numFmtId="0" fontId="6" fillId="4" borderId="0" xfId="2" applyFont="1" applyFill="1" applyAlignment="1">
      <alignment horizontal="center"/>
    </xf>
    <xf numFmtId="0" fontId="2" fillId="4" borderId="0" xfId="0" applyFont="1" applyFill="1" applyAlignment="1">
      <alignment horizontal="center"/>
    </xf>
    <xf numFmtId="0" fontId="7" fillId="0" borderId="0" xfId="2" applyFont="1" applyAlignment="1">
      <alignment vertical="center"/>
    </xf>
    <xf numFmtId="165" fontId="4" fillId="2" borderId="0" xfId="3" applyNumberFormat="1" applyFont="1" applyFill="1"/>
    <xf numFmtId="0" fontId="7" fillId="0" borderId="1" xfId="2" applyFont="1" applyBorder="1" applyAlignment="1">
      <alignment vertical="center"/>
    </xf>
    <xf numFmtId="165" fontId="4" fillId="2" borderId="1" xfId="3" applyNumberFormat="1" applyFont="1" applyFill="1" applyBorder="1"/>
    <xf numFmtId="0" fontId="7" fillId="0" borderId="0" xfId="2" applyFont="1" applyAlignment="1">
      <alignment horizontal="left" vertical="center"/>
    </xf>
    <xf numFmtId="165" fontId="7" fillId="2" borderId="0" xfId="3" applyNumberFormat="1" applyFont="1" applyFill="1"/>
    <xf numFmtId="165" fontId="4" fillId="0" borderId="0" xfId="1" applyNumberFormat="1" applyFont="1"/>
    <xf numFmtId="0" fontId="7" fillId="0" borderId="0" xfId="0" applyFont="1"/>
    <xf numFmtId="165" fontId="4" fillId="0" borderId="1" xfId="1" applyNumberFormat="1" applyFont="1" applyBorder="1"/>
    <xf numFmtId="0" fontId="7" fillId="0" borderId="2" xfId="2" applyFont="1" applyBorder="1" applyAlignment="1">
      <alignment vertical="center"/>
    </xf>
    <xf numFmtId="165" fontId="7" fillId="2" borderId="2" xfId="3" applyNumberFormat="1" applyFont="1" applyFill="1" applyBorder="1"/>
    <xf numFmtId="0" fontId="7" fillId="0" borderId="3" xfId="2" applyFont="1" applyBorder="1" applyAlignment="1">
      <alignment vertical="center"/>
    </xf>
    <xf numFmtId="165" fontId="4" fillId="2" borderId="3" xfId="3" applyNumberFormat="1" applyFont="1" applyFill="1" applyBorder="1"/>
    <xf numFmtId="0" fontId="7" fillId="0" borderId="4" xfId="2" applyFont="1" applyBorder="1" applyAlignment="1">
      <alignment vertical="center"/>
    </xf>
    <xf numFmtId="165" fontId="0" fillId="2" borderId="4" xfId="0" applyNumberFormat="1" applyFill="1" applyBorder="1"/>
    <xf numFmtId="0" fontId="4" fillId="2" borderId="0" xfId="0" applyFont="1" applyFill="1"/>
    <xf numFmtId="0" fontId="8" fillId="0" borderId="0" xfId="0" applyFont="1"/>
    <xf numFmtId="166" fontId="4" fillId="2" borderId="0" xfId="1" applyNumberFormat="1" applyFont="1" applyFill="1" applyAlignment="1">
      <alignment vertical="center"/>
    </xf>
    <xf numFmtId="166" fontId="4" fillId="2" borderId="1" xfId="1" applyNumberFormat="1" applyFont="1" applyFill="1" applyBorder="1" applyAlignment="1">
      <alignment vertical="center"/>
    </xf>
    <xf numFmtId="165" fontId="0" fillId="2" borderId="0" xfId="0" applyNumberFormat="1" applyFill="1"/>
    <xf numFmtId="0" fontId="3" fillId="2" borderId="0" xfId="0" applyFont="1" applyFill="1" applyAlignment="1">
      <alignment horizontal="center"/>
    </xf>
    <xf numFmtId="0" fontId="0" fillId="2" borderId="0" xfId="0" applyFill="1" applyAlignment="1">
      <alignment horizontal="center"/>
    </xf>
    <xf numFmtId="0" fontId="0" fillId="4" borderId="0" xfId="0" applyFill="1" applyAlignment="1">
      <alignment horizontal="center"/>
    </xf>
    <xf numFmtId="0" fontId="10" fillId="4" borderId="0" xfId="2" applyFont="1" applyFill="1" applyAlignment="1">
      <alignment horizontal="center"/>
    </xf>
    <xf numFmtId="0" fontId="5" fillId="2" borderId="0" xfId="2" applyFill="1"/>
    <xf numFmtId="0" fontId="11" fillId="2" borderId="0" xfId="2" applyFont="1" applyFill="1"/>
    <xf numFmtId="0" fontId="5" fillId="2" borderId="0" xfId="2" applyFill="1" applyAlignment="1">
      <alignment vertical="center"/>
    </xf>
    <xf numFmtId="165" fontId="12" fillId="2" borderId="0" xfId="3" applyNumberFormat="1" applyFont="1" applyFill="1"/>
    <xf numFmtId="0" fontId="5" fillId="2" borderId="1" xfId="2" applyFill="1" applyBorder="1"/>
    <xf numFmtId="165" fontId="12" fillId="2" borderId="1" xfId="3" applyNumberFormat="1" applyFont="1" applyFill="1" applyBorder="1"/>
    <xf numFmtId="0" fontId="13" fillId="2" borderId="0" xfId="2" applyFont="1" applyFill="1" applyAlignment="1">
      <alignment horizontal="left"/>
    </xf>
    <xf numFmtId="165" fontId="13" fillId="2" borderId="0" xfId="3" applyNumberFormat="1" applyFont="1" applyFill="1"/>
    <xf numFmtId="166" fontId="12" fillId="2" borderId="0" xfId="1" applyNumberFormat="1" applyFont="1" applyFill="1" applyAlignment="1">
      <alignment vertical="center"/>
    </xf>
    <xf numFmtId="0" fontId="13" fillId="2" borderId="1" xfId="2" applyFont="1" applyFill="1" applyBorder="1" applyAlignment="1">
      <alignment horizontal="left"/>
    </xf>
    <xf numFmtId="165" fontId="13" fillId="2" borderId="1" xfId="3" applyNumberFormat="1" applyFont="1" applyFill="1" applyBorder="1"/>
    <xf numFmtId="0" fontId="13" fillId="2" borderId="2" xfId="2" applyFont="1" applyFill="1" applyBorder="1" applyAlignment="1">
      <alignment horizontal="left"/>
    </xf>
    <xf numFmtId="165" fontId="13" fillId="2" borderId="2" xfId="3" applyNumberFormat="1" applyFont="1" applyFill="1" applyBorder="1"/>
    <xf numFmtId="0" fontId="11" fillId="2" borderId="0" xfId="2" applyFont="1" applyFill="1" applyAlignment="1">
      <alignment horizontal="left"/>
    </xf>
    <xf numFmtId="0" fontId="13" fillId="2" borderId="6" xfId="2" applyFont="1" applyFill="1" applyBorder="1"/>
    <xf numFmtId="165" fontId="13" fillId="2" borderId="6" xfId="3" applyNumberFormat="1" applyFont="1" applyFill="1" applyBorder="1"/>
    <xf numFmtId="166" fontId="0" fillId="2" borderId="0" xfId="0" applyNumberFormat="1" applyFill="1"/>
    <xf numFmtId="0" fontId="2" fillId="2" borderId="0" xfId="0" applyFont="1" applyFill="1"/>
    <xf numFmtId="0" fontId="15" fillId="2" borderId="0" xfId="2" applyFont="1" applyFill="1"/>
    <xf numFmtId="165" fontId="15" fillId="2" borderId="0" xfId="2" applyNumberFormat="1" applyFont="1" applyFill="1"/>
    <xf numFmtId="0" fontId="18" fillId="2" borderId="0" xfId="0" applyFont="1" applyFill="1"/>
    <xf numFmtId="0" fontId="18" fillId="0" borderId="0" xfId="0" applyFont="1"/>
    <xf numFmtId="3" fontId="0" fillId="2" borderId="0" xfId="0" applyNumberFormat="1" applyFill="1"/>
    <xf numFmtId="164" fontId="0" fillId="0" borderId="0" xfId="1" applyFont="1"/>
    <xf numFmtId="164" fontId="0" fillId="4" borderId="0" xfId="1" applyFont="1" applyFill="1"/>
    <xf numFmtId="164" fontId="2" fillId="4" borderId="0" xfId="1" applyFont="1" applyFill="1" applyAlignment="1">
      <alignment horizontal="center"/>
    </xf>
    <xf numFmtId="165" fontId="12" fillId="2" borderId="0" xfId="3" applyNumberFormat="1" applyFont="1" applyFill="1" applyBorder="1"/>
    <xf numFmtId="167" fontId="4" fillId="0" borderId="0" xfId="1" applyNumberFormat="1" applyFont="1"/>
    <xf numFmtId="167" fontId="4" fillId="0" borderId="0" xfId="1" applyNumberFormat="1" applyFont="1" applyFill="1"/>
    <xf numFmtId="166" fontId="4" fillId="0" borderId="0" xfId="1" applyNumberFormat="1" applyFont="1"/>
    <xf numFmtId="166" fontId="4" fillId="0" borderId="0" xfId="1" applyNumberFormat="1" applyFont="1" applyFill="1"/>
    <xf numFmtId="164" fontId="0" fillId="3" borderId="0" xfId="1" applyFont="1" applyFill="1"/>
    <xf numFmtId="0" fontId="0" fillId="3" borderId="0" xfId="0" applyFill="1"/>
    <xf numFmtId="166" fontId="4" fillId="2" borderId="0" xfId="1" applyNumberFormat="1" applyFont="1" applyFill="1"/>
    <xf numFmtId="166" fontId="0" fillId="0" borderId="0" xfId="1" applyNumberFormat="1" applyFont="1"/>
    <xf numFmtId="166" fontId="4" fillId="0" borderId="1" xfId="1" applyNumberFormat="1" applyFont="1" applyBorder="1"/>
    <xf numFmtId="166" fontId="7" fillId="2" borderId="0" xfId="1" applyNumberFormat="1" applyFont="1" applyFill="1"/>
    <xf numFmtId="166" fontId="0" fillId="0" borderId="0" xfId="0" applyNumberFormat="1"/>
    <xf numFmtId="166" fontId="4" fillId="2" borderId="7" xfId="1" applyNumberFormat="1" applyFont="1" applyFill="1" applyBorder="1" applyAlignment="1">
      <alignment vertical="center"/>
    </xf>
    <xf numFmtId="3" fontId="12" fillId="5" borderId="0" xfId="0" applyNumberFormat="1" applyFont="1" applyFill="1"/>
    <xf numFmtId="3" fontId="12" fillId="5" borderId="1" xfId="0" applyNumberFormat="1" applyFont="1" applyFill="1" applyBorder="1"/>
    <xf numFmtId="0" fontId="3" fillId="3" borderId="0" xfId="0" applyFont="1" applyFill="1" applyAlignment="1">
      <alignment vertical="center" wrapText="1"/>
    </xf>
    <xf numFmtId="0" fontId="0" fillId="0" borderId="0" xfId="0" applyAlignment="1"/>
    <xf numFmtId="0" fontId="3" fillId="3" borderId="5" xfId="0" applyFont="1" applyFill="1" applyBorder="1" applyAlignment="1">
      <alignment vertical="center" wrapText="1"/>
    </xf>
    <xf numFmtId="0" fontId="3" fillId="2" borderId="0" xfId="0" applyFont="1" applyFill="1" applyAlignment="1">
      <alignment horizontal="center" wrapText="1"/>
    </xf>
    <xf numFmtId="0" fontId="3" fillId="4" borderId="0" xfId="0" applyFont="1" applyFill="1" applyAlignment="1">
      <alignment horizontal="center" wrapText="1"/>
    </xf>
    <xf numFmtId="0" fontId="10" fillId="4" borderId="0" xfId="2" applyFont="1" applyFill="1" applyAlignment="1">
      <alignment horizontal="center" wrapText="1"/>
    </xf>
    <xf numFmtId="0" fontId="13" fillId="2" borderId="0" xfId="2" applyFont="1" applyFill="1" applyAlignment="1">
      <alignment vertical="center" wrapText="1"/>
    </xf>
    <xf numFmtId="0" fontId="5" fillId="2" borderId="0" xfId="2" applyFill="1" applyAlignment="1">
      <alignment wrapText="1"/>
    </xf>
    <xf numFmtId="0" fontId="5" fillId="2" borderId="1" xfId="2" applyFill="1" applyBorder="1" applyAlignment="1">
      <alignment wrapText="1"/>
    </xf>
    <xf numFmtId="0" fontId="13" fillId="2" borderId="0" xfId="2" applyFont="1" applyFill="1" applyAlignment="1">
      <alignment horizontal="left" wrapText="1"/>
    </xf>
    <xf numFmtId="0" fontId="14" fillId="2" borderId="0" xfId="4" applyFont="1" applyFill="1" applyAlignment="1">
      <alignment horizontal="justify" vertical="center" wrapText="1"/>
    </xf>
    <xf numFmtId="0" fontId="13" fillId="2" borderId="2" xfId="2" applyFont="1" applyFill="1" applyBorder="1" applyAlignment="1">
      <alignment horizontal="left" wrapText="1"/>
    </xf>
    <xf numFmtId="0" fontId="16" fillId="2" borderId="0" xfId="4" applyFont="1" applyFill="1" applyAlignment="1">
      <alignment horizontal="justify" vertical="center" wrapText="1"/>
    </xf>
    <xf numFmtId="0" fontId="0" fillId="2" borderId="0" xfId="0" applyFill="1" applyAlignment="1">
      <alignment wrapText="1"/>
    </xf>
    <xf numFmtId="0" fontId="0" fillId="0" borderId="0" xfId="0" applyAlignment="1">
      <alignment wrapText="1"/>
    </xf>
  </cellXfs>
  <cellStyles count="6">
    <cellStyle name="Comma" xfId="1" builtinId="3"/>
    <cellStyle name="Comma 3" xfId="3" xr:uid="{00000000-0005-0000-0000-000000000000}"/>
    <cellStyle name="Komma 2" xfId="5" xr:uid="{00000000-0005-0000-0000-000002000000}"/>
    <cellStyle name="Normal" xfId="0" builtinId="0"/>
    <cellStyle name="Normal 2" xfId="2" xr:uid="{00000000-0005-0000-0000-000004000000}"/>
    <cellStyle name="Normal 3 2" xfId="4"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jmj2/Box%20Sync/4.6.1%20Finance/2017/12%20December%202017/Group%20Financial%20report%202017-12%20final%20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t and loss"/>
      <sheetName val="Balance"/>
      <sheetName val="CF"/>
      <sheetName val="Equity"/>
      <sheetName val="Input Equity"/>
      <sheetName val="Input CF"/>
      <sheetName val="Input COGS"/>
      <sheetName val="Note 1-2"/>
      <sheetName val="Note 2 contd p1"/>
      <sheetName val="Note 2 contd p2"/>
      <sheetName val="Note 3-5"/>
      <sheetName val="Note 6"/>
      <sheetName val="Notes to Q4-2016"/>
      <sheetName val="Note 7"/>
      <sheetName val="Note 8 - 9"/>
      <sheetName val="Note 10-16"/>
      <sheetName val="Note 17-19"/>
      <sheetName val="Note 25"/>
      <sheetName val="Note 20-24"/>
      <sheetName val="Note 26-28"/>
      <sheetName val="TB IS CY"/>
      <sheetName val="TB BS CY"/>
      <sheetName val="YE entries CY"/>
      <sheetName val="Mapping"/>
      <sheetName val="Veiledning"/>
      <sheetName val="TB IS PY"/>
      <sheetName val="TB BS PY"/>
      <sheetName val="YE entries PY"/>
      <sheetName val="INFO"/>
      <sheetName val="Input Period n FX"/>
      <sheetName val="BS Q"/>
      <sheetName val="Q - REPORT -&gt;"/>
      <sheetName val="IS Q"/>
      <sheetName val="CF Q"/>
      <sheetName val="Notes Q"/>
      <sheetName val="STATS 24mths IS"/>
      <sheetName val="STATS 24mths BS"/>
      <sheetName val="STATS 24mths CF"/>
      <sheetName val="STATS 8Q notes"/>
      <sheetName val="Q HISTORICAL FINANCIALS"/>
      <sheetName val="Q HF IS"/>
      <sheetName val="Q HF BS"/>
      <sheetName val="Q HF CF"/>
      <sheetName val="SUPPORTING DOC -&gt;"/>
      <sheetName val="SR MNGMNT Grants 2016"/>
      <sheetName val="Income Statement - Details 2016"/>
      <sheetName val="AP Ledger (acc 2400) 31.12.201 "/>
      <sheetName val="Auditor 2016"/>
      <sheetName val="SR Mngmnt 2016"/>
      <sheetName val="Recon of Granted SR 20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Q36"/>
  <sheetViews>
    <sheetView showGridLines="0" tabSelected="1" zoomScaleNormal="100" workbookViewId="0">
      <pane xSplit="2" ySplit="5" topLeftCell="AP6" activePane="bottomRight" state="frozen"/>
      <selection pane="topRight" activeCell="W8" sqref="W8"/>
      <selection pane="bottomLeft" activeCell="W8" sqref="W8"/>
      <selection pane="bottomRight" activeCell="AQ5" sqref="AQ5"/>
    </sheetView>
  </sheetViews>
  <sheetFormatPr defaultColWidth="8.90625" defaultRowHeight="14.5" x14ac:dyDescent="0.35"/>
  <cols>
    <col min="1" max="1" width="2.54296875" customWidth="1"/>
    <col min="2" max="2" width="43.6328125" customWidth="1"/>
    <col min="3" max="16" width="12.08984375" style="1" customWidth="1"/>
    <col min="17" max="18" width="8.90625" customWidth="1"/>
    <col min="19" max="20" width="9.54296875" customWidth="1"/>
    <col min="21" max="22" width="8.90625" customWidth="1"/>
    <col min="23" max="25" width="13.54296875" style="56" bestFit="1" customWidth="1"/>
    <col min="26" max="32" width="13.54296875" style="56" customWidth="1"/>
    <col min="33" max="43" width="13.54296875" customWidth="1"/>
  </cols>
  <sheetData>
    <row r="1" spans="2:43" ht="13.5" customHeight="1" x14ac:dyDescent="0.35"/>
    <row r="2" spans="2:43" ht="87" x14ac:dyDescent="0.35">
      <c r="B2" s="74" t="s">
        <v>130</v>
      </c>
      <c r="C2" s="74"/>
      <c r="D2" s="74"/>
      <c r="E2" s="74"/>
      <c r="F2" s="74"/>
      <c r="G2" s="74"/>
      <c r="H2" s="74"/>
      <c r="I2" s="74"/>
      <c r="J2" s="74"/>
      <c r="K2" s="74"/>
      <c r="L2" s="74"/>
      <c r="M2" s="74"/>
      <c r="N2" s="74"/>
      <c r="O2" s="74"/>
      <c r="P2" s="74"/>
      <c r="Q2" s="74"/>
      <c r="R2" s="74"/>
      <c r="S2" s="74"/>
      <c r="T2" s="74"/>
      <c r="U2" s="74"/>
      <c r="V2" s="74"/>
      <c r="W2" s="74"/>
      <c r="X2" s="74"/>
      <c r="Y2" s="74"/>
      <c r="Z2" s="64"/>
      <c r="AA2" s="64"/>
      <c r="AB2" s="64"/>
      <c r="AC2" s="64"/>
      <c r="AD2" s="64"/>
      <c r="AE2" s="64"/>
      <c r="AF2" s="64"/>
      <c r="AG2" s="65"/>
      <c r="AH2" s="65"/>
      <c r="AI2" s="65"/>
      <c r="AJ2" s="65"/>
      <c r="AK2" s="65"/>
      <c r="AL2" s="65"/>
      <c r="AM2" s="65"/>
      <c r="AN2" s="65"/>
      <c r="AO2" s="65"/>
      <c r="AP2" s="65"/>
      <c r="AQ2" s="65"/>
    </row>
    <row r="3" spans="2:43" x14ac:dyDescent="0.35">
      <c r="B3" s="2"/>
      <c r="G3" s="3"/>
      <c r="H3" s="3"/>
      <c r="I3" s="3"/>
      <c r="J3" s="3"/>
    </row>
    <row r="4" spans="2:43" x14ac:dyDescent="0.35">
      <c r="B4" s="4" t="s">
        <v>0</v>
      </c>
      <c r="C4" s="5"/>
      <c r="D4" s="5"/>
      <c r="E4" s="5"/>
      <c r="F4" s="5"/>
      <c r="G4" s="6"/>
      <c r="H4" s="6"/>
      <c r="I4" s="6"/>
      <c r="J4" s="6"/>
      <c r="K4" s="5"/>
      <c r="L4" s="5"/>
      <c r="M4" s="5"/>
      <c r="N4" s="5"/>
      <c r="O4" s="5"/>
      <c r="P4" s="5"/>
      <c r="Q4" s="5"/>
      <c r="R4" s="5"/>
      <c r="S4" s="5"/>
      <c r="T4" s="5"/>
      <c r="U4" s="5"/>
      <c r="V4" s="5"/>
      <c r="W4" s="57"/>
      <c r="X4" s="57"/>
      <c r="Y4" s="57"/>
      <c r="Z4" s="57"/>
      <c r="AA4" s="57"/>
      <c r="AB4" s="57"/>
      <c r="AC4" s="57"/>
      <c r="AD4" s="57"/>
      <c r="AE4" s="57"/>
      <c r="AF4" s="57"/>
      <c r="AG4" s="57"/>
      <c r="AH4" s="57"/>
      <c r="AI4" s="57"/>
      <c r="AJ4" s="57"/>
      <c r="AK4" s="57"/>
      <c r="AL4" s="57"/>
      <c r="AM4" s="57"/>
      <c r="AN4" s="57"/>
      <c r="AO4" s="57"/>
      <c r="AP4" s="57"/>
      <c r="AQ4" s="57"/>
    </row>
    <row r="5" spans="2:43" x14ac:dyDescent="0.35">
      <c r="B5" s="7" t="s">
        <v>1</v>
      </c>
      <c r="C5" s="8" t="s">
        <v>2</v>
      </c>
      <c r="D5" s="8" t="s">
        <v>3</v>
      </c>
      <c r="E5" s="8" t="s">
        <v>4</v>
      </c>
      <c r="F5" s="8" t="s">
        <v>5</v>
      </c>
      <c r="G5" s="8" t="s">
        <v>6</v>
      </c>
      <c r="H5" s="8" t="s">
        <v>7</v>
      </c>
      <c r="I5" s="8" t="s">
        <v>8</v>
      </c>
      <c r="J5" s="8" t="s">
        <v>9</v>
      </c>
      <c r="K5" s="8" t="s">
        <v>10</v>
      </c>
      <c r="L5" s="8" t="s">
        <v>11</v>
      </c>
      <c r="M5" s="8" t="s">
        <v>12</v>
      </c>
      <c r="N5" s="8" t="s">
        <v>13</v>
      </c>
      <c r="O5" s="8" t="s">
        <v>14</v>
      </c>
      <c r="P5" s="8" t="s">
        <v>15</v>
      </c>
      <c r="Q5" s="8" t="s">
        <v>16</v>
      </c>
      <c r="R5" s="8" t="s">
        <v>17</v>
      </c>
      <c r="S5" s="8" t="s">
        <v>18</v>
      </c>
      <c r="T5" s="8" t="s">
        <v>19</v>
      </c>
      <c r="U5" s="8" t="s">
        <v>20</v>
      </c>
      <c r="V5" s="8" t="s">
        <v>21</v>
      </c>
      <c r="W5" s="58" t="s">
        <v>22</v>
      </c>
      <c r="X5" s="58" t="s">
        <v>23</v>
      </c>
      <c r="Y5" s="58" t="s">
        <v>24</v>
      </c>
      <c r="Z5" s="58" t="s">
        <v>25</v>
      </c>
      <c r="AA5" s="58" t="s">
        <v>26</v>
      </c>
      <c r="AB5" s="58" t="s">
        <v>27</v>
      </c>
      <c r="AC5" s="58" t="s">
        <v>28</v>
      </c>
      <c r="AD5" s="58" t="s">
        <v>29</v>
      </c>
      <c r="AE5" s="58" t="s">
        <v>30</v>
      </c>
      <c r="AF5" s="58" t="s">
        <v>31</v>
      </c>
      <c r="AG5" s="58" t="s">
        <v>32</v>
      </c>
      <c r="AH5" s="58" t="s">
        <v>33</v>
      </c>
      <c r="AI5" s="58" t="s">
        <v>34</v>
      </c>
      <c r="AJ5" s="58" t="s">
        <v>35</v>
      </c>
      <c r="AK5" s="58" t="s">
        <v>36</v>
      </c>
      <c r="AL5" s="58" t="s">
        <v>37</v>
      </c>
      <c r="AM5" s="58" t="s">
        <v>38</v>
      </c>
      <c r="AN5" s="58" t="s">
        <v>39</v>
      </c>
      <c r="AO5" s="58" t="s">
        <v>127</v>
      </c>
      <c r="AP5" s="58" t="s">
        <v>131</v>
      </c>
      <c r="AQ5" s="58" t="s">
        <v>132</v>
      </c>
    </row>
    <row r="6" spans="2:43" x14ac:dyDescent="0.35">
      <c r="B6" s="9" t="s">
        <v>40</v>
      </c>
      <c r="C6" s="10">
        <v>164.65255350000001</v>
      </c>
      <c r="D6" s="10">
        <v>179.6933449</v>
      </c>
      <c r="E6" s="10">
        <v>71.670000967360068</v>
      </c>
      <c r="F6" s="10">
        <v>488.60214181663997</v>
      </c>
      <c r="G6" s="10">
        <v>349.34931938399995</v>
      </c>
      <c r="H6" s="10">
        <v>407.31707738799992</v>
      </c>
      <c r="I6" s="10">
        <v>578</v>
      </c>
      <c r="J6" s="10">
        <v>514</v>
      </c>
      <c r="K6" s="10">
        <v>253.28</v>
      </c>
      <c r="L6" s="10">
        <v>478</v>
      </c>
      <c r="M6" s="10">
        <v>494</v>
      </c>
      <c r="N6" s="10">
        <v>989</v>
      </c>
      <c r="O6" s="10">
        <v>149.51033000000001</v>
      </c>
      <c r="P6" s="10">
        <v>597.28937999999994</v>
      </c>
      <c r="Q6" s="10">
        <v>247.70654000000002</v>
      </c>
      <c r="R6" s="10">
        <v>465.85433</v>
      </c>
      <c r="S6" s="10">
        <v>676.58055999999999</v>
      </c>
      <c r="T6" s="10">
        <v>1394.69886</v>
      </c>
      <c r="U6" s="10">
        <v>633.36601999999993</v>
      </c>
      <c r="V6" s="10">
        <v>275.25663874071324</v>
      </c>
      <c r="W6" s="10">
        <v>405.03423009910591</v>
      </c>
      <c r="X6" s="10">
        <v>460.95418476626935</v>
      </c>
      <c r="Y6" s="10">
        <v>223.24767496868412</v>
      </c>
      <c r="Z6" s="10">
        <v>198.37675707530184</v>
      </c>
      <c r="AA6" s="10">
        <v>402.47643688484436</v>
      </c>
      <c r="AB6" s="10">
        <v>164.59371715662724</v>
      </c>
      <c r="AC6" s="10">
        <v>129</v>
      </c>
      <c r="AD6" s="10">
        <v>4.6900000000000004</v>
      </c>
      <c r="AE6" s="10">
        <v>491</v>
      </c>
      <c r="AF6" s="10">
        <v>0</v>
      </c>
      <c r="AG6" s="10">
        <v>0</v>
      </c>
      <c r="AH6" s="10">
        <v>0</v>
      </c>
      <c r="AI6" s="10">
        <v>0</v>
      </c>
      <c r="AJ6" s="10">
        <v>0</v>
      </c>
      <c r="AK6" s="10">
        <v>0</v>
      </c>
      <c r="AL6" s="10">
        <v>0</v>
      </c>
      <c r="AM6" s="10">
        <v>0</v>
      </c>
      <c r="AN6" s="10">
        <v>0</v>
      </c>
      <c r="AO6" s="10">
        <v>0</v>
      </c>
      <c r="AP6" s="10">
        <v>0</v>
      </c>
      <c r="AQ6" s="10">
        <v>0</v>
      </c>
    </row>
    <row r="7" spans="2:43" x14ac:dyDescent="0.35">
      <c r="B7" s="9" t="s">
        <v>41</v>
      </c>
      <c r="C7" s="10">
        <v>110.26544939999999</v>
      </c>
      <c r="D7" s="10">
        <v>332.20796712000003</v>
      </c>
      <c r="E7" s="10">
        <v>213.14275357999998</v>
      </c>
      <c r="F7" s="10">
        <v>396.89636077359989</v>
      </c>
      <c r="G7" s="10">
        <v>288.18329999999997</v>
      </c>
      <c r="H7" s="10">
        <v>456.87885347233333</v>
      </c>
      <c r="I7" s="10">
        <v>709</v>
      </c>
      <c r="J7" s="10">
        <v>686.00207276454967</v>
      </c>
      <c r="K7" s="10">
        <v>380.32</v>
      </c>
      <c r="L7" s="10">
        <v>492</v>
      </c>
      <c r="M7" s="10">
        <v>434</v>
      </c>
      <c r="N7" s="10">
        <v>485</v>
      </c>
      <c r="O7" s="10">
        <v>557.36976000000004</v>
      </c>
      <c r="P7" s="10">
        <v>483.00329999999985</v>
      </c>
      <c r="Q7" s="10">
        <v>475.79124526822011</v>
      </c>
      <c r="R7" s="10">
        <v>447.49838473177965</v>
      </c>
      <c r="S7" s="10">
        <v>318.59671176577302</v>
      </c>
      <c r="T7" s="10">
        <v>329.01031020338093</v>
      </c>
      <c r="U7" s="10">
        <v>577.10062659688606</v>
      </c>
      <c r="V7" s="10">
        <v>814.93867818201898</v>
      </c>
      <c r="W7" s="10">
        <v>0</v>
      </c>
      <c r="X7" s="10">
        <v>0</v>
      </c>
      <c r="Y7" s="10">
        <v>0</v>
      </c>
      <c r="Z7" s="10">
        <v>0</v>
      </c>
      <c r="AA7" s="10">
        <v>0</v>
      </c>
      <c r="AB7" s="10">
        <v>0</v>
      </c>
      <c r="AC7" s="10">
        <v>0</v>
      </c>
      <c r="AD7" s="10">
        <v>0</v>
      </c>
      <c r="AE7" s="10">
        <v>0</v>
      </c>
      <c r="AF7" s="10">
        <v>0</v>
      </c>
      <c r="AG7" s="10"/>
      <c r="AH7" s="10">
        <v>0</v>
      </c>
      <c r="AI7" s="10">
        <v>0</v>
      </c>
      <c r="AJ7" s="10">
        <v>0</v>
      </c>
      <c r="AK7" s="10">
        <v>0</v>
      </c>
      <c r="AL7" s="10">
        <v>0</v>
      </c>
      <c r="AM7" s="10">
        <v>0</v>
      </c>
      <c r="AN7" s="10">
        <v>0</v>
      </c>
      <c r="AO7" s="10">
        <v>0</v>
      </c>
      <c r="AP7" s="10">
        <v>0</v>
      </c>
      <c r="AQ7" s="10">
        <v>0</v>
      </c>
    </row>
    <row r="8" spans="2:43" x14ac:dyDescent="0.35">
      <c r="B8" s="11" t="s">
        <v>42</v>
      </c>
      <c r="C8" s="12">
        <v>0</v>
      </c>
      <c r="D8" s="12">
        <v>0</v>
      </c>
      <c r="E8" s="12">
        <v>0</v>
      </c>
      <c r="F8" s="12">
        <v>0</v>
      </c>
      <c r="G8" s="12">
        <v>512.51141559999996</v>
      </c>
      <c r="H8" s="12">
        <v>-4.3234802333333278</v>
      </c>
      <c r="I8" s="12">
        <v>-7</v>
      </c>
      <c r="J8" s="12">
        <v>-11.219119455000055</v>
      </c>
      <c r="K8" s="12">
        <v>64.540000000000006</v>
      </c>
      <c r="L8" s="12">
        <v>107</v>
      </c>
      <c r="M8" s="12">
        <v>111</v>
      </c>
      <c r="N8" s="12">
        <v>125</v>
      </c>
      <c r="O8" s="12">
        <v>104.39142</v>
      </c>
      <c r="P8" s="12">
        <v>105.44058</v>
      </c>
      <c r="Q8" s="12">
        <v>105.44058000000001</v>
      </c>
      <c r="R8" s="12">
        <v>105.44058000000001</v>
      </c>
      <c r="S8" s="12">
        <v>120.0851</v>
      </c>
      <c r="T8" s="12">
        <v>575.83950000000004</v>
      </c>
      <c r="U8" s="12">
        <v>99.765277694909969</v>
      </c>
      <c r="V8" s="12">
        <v>91.395659163410301</v>
      </c>
      <c r="W8" s="12">
        <v>772.18348251114094</v>
      </c>
      <c r="X8" s="12">
        <v>346.60058955611976</v>
      </c>
      <c r="Y8" s="12">
        <v>356.01652617914169</v>
      </c>
      <c r="Z8" s="12">
        <v>634.94923532123494</v>
      </c>
      <c r="AA8" s="12">
        <v>378.57891177781443</v>
      </c>
      <c r="AB8" s="12">
        <v>150.05800729935885</v>
      </c>
      <c r="AC8" s="12">
        <v>-10</v>
      </c>
      <c r="AD8" s="12">
        <v>-38.53</v>
      </c>
      <c r="AE8" s="12">
        <v>67</v>
      </c>
      <c r="AF8" s="12">
        <v>-63</v>
      </c>
      <c r="AG8" s="12">
        <v>17</v>
      </c>
      <c r="AH8" s="12">
        <v>1</v>
      </c>
      <c r="AI8" s="12">
        <v>0</v>
      </c>
      <c r="AJ8" s="12">
        <v>0</v>
      </c>
      <c r="AK8" s="12">
        <v>0</v>
      </c>
      <c r="AL8" s="12">
        <v>0</v>
      </c>
      <c r="AM8" s="12">
        <v>0</v>
      </c>
      <c r="AN8" s="12">
        <v>0</v>
      </c>
      <c r="AO8" s="12">
        <v>0</v>
      </c>
      <c r="AP8" s="12">
        <v>0</v>
      </c>
      <c r="AQ8" s="12">
        <v>0</v>
      </c>
    </row>
    <row r="9" spans="2:43" x14ac:dyDescent="0.35">
      <c r="B9" s="13" t="s">
        <v>43</v>
      </c>
      <c r="C9" s="14">
        <f t="shared" ref="C9:K9" si="0">SUM(C6:C8)</f>
        <v>274.91800290000003</v>
      </c>
      <c r="D9" s="14">
        <f t="shared" si="0"/>
        <v>511.90131202000003</v>
      </c>
      <c r="E9" s="14">
        <f t="shared" si="0"/>
        <v>284.81275454736004</v>
      </c>
      <c r="F9" s="14">
        <f t="shared" si="0"/>
        <v>885.49850259023992</v>
      </c>
      <c r="G9" s="14">
        <f t="shared" si="0"/>
        <v>1150.0440349839998</v>
      </c>
      <c r="H9" s="14">
        <f t="shared" si="0"/>
        <v>859.87245062699981</v>
      </c>
      <c r="I9" s="14">
        <f t="shared" si="0"/>
        <v>1280</v>
      </c>
      <c r="J9" s="14">
        <f t="shared" si="0"/>
        <v>1188.7829533095496</v>
      </c>
      <c r="K9" s="14">
        <f t="shared" si="0"/>
        <v>698.14</v>
      </c>
      <c r="L9" s="14">
        <f t="shared" ref="L9:R9" si="1">SUM(L6:L8)</f>
        <v>1077</v>
      </c>
      <c r="M9" s="14">
        <f t="shared" si="1"/>
        <v>1039</v>
      </c>
      <c r="N9" s="14">
        <f t="shared" si="1"/>
        <v>1599</v>
      </c>
      <c r="O9" s="14">
        <f t="shared" si="1"/>
        <v>811.27151000000015</v>
      </c>
      <c r="P9" s="14">
        <f t="shared" si="1"/>
        <v>1185.7332599999997</v>
      </c>
      <c r="Q9" s="14">
        <f t="shared" si="1"/>
        <v>828.9383652682202</v>
      </c>
      <c r="R9" s="14">
        <f t="shared" si="1"/>
        <v>1018.7932947317797</v>
      </c>
      <c r="S9" s="14">
        <f>SUM(S6:S8)</f>
        <v>1115.262371765773</v>
      </c>
      <c r="T9" s="14">
        <f>SUM(T6:T8)</f>
        <v>2299.5486702033809</v>
      </c>
      <c r="U9" s="14">
        <f>SUM(U6:U8)</f>
        <v>1310.2319242917961</v>
      </c>
      <c r="V9" s="14">
        <f>SUM(V6:V8)</f>
        <v>1181.5909760861425</v>
      </c>
      <c r="W9" s="14">
        <v>1177.2177126102474</v>
      </c>
      <c r="X9" s="14">
        <v>807.55477432238854</v>
      </c>
      <c r="Y9" s="14">
        <v>579.26420114782582</v>
      </c>
      <c r="Z9" s="14">
        <v>833.32599239653655</v>
      </c>
      <c r="AA9" s="14">
        <v>781.05534866265884</v>
      </c>
      <c r="AB9" s="14">
        <v>314.65172445598614</v>
      </c>
      <c r="AC9" s="14">
        <v>119</v>
      </c>
      <c r="AD9" s="14">
        <v>-33.840000000000003</v>
      </c>
      <c r="AE9" s="14">
        <v>558</v>
      </c>
      <c r="AF9" s="14">
        <v>-63</v>
      </c>
      <c r="AG9" s="14">
        <v>17</v>
      </c>
      <c r="AH9" s="14">
        <v>0.83699999999998909</v>
      </c>
      <c r="AI9" s="14">
        <v>0</v>
      </c>
      <c r="AJ9" s="14">
        <v>0</v>
      </c>
      <c r="AK9" s="14">
        <v>0</v>
      </c>
      <c r="AL9" s="14">
        <v>0</v>
      </c>
      <c r="AM9" s="14">
        <v>0</v>
      </c>
      <c r="AN9" s="14">
        <v>0</v>
      </c>
      <c r="AO9" s="14">
        <v>0</v>
      </c>
      <c r="AP9" s="14">
        <v>0</v>
      </c>
      <c r="AQ9" s="14">
        <v>0</v>
      </c>
    </row>
    <row r="10" spans="2:43" x14ac:dyDescent="0.35">
      <c r="B10" s="9"/>
      <c r="C10" s="14"/>
      <c r="D10" s="14"/>
      <c r="E10" s="14"/>
      <c r="F10" s="14"/>
      <c r="G10" s="14"/>
      <c r="H10" s="14"/>
      <c r="I10" s="14"/>
      <c r="J10" s="14"/>
      <c r="K10" s="14"/>
      <c r="L10" s="14"/>
      <c r="M10" s="14"/>
      <c r="P10"/>
      <c r="W10"/>
      <c r="X10"/>
      <c r="Y10"/>
      <c r="Z10"/>
      <c r="AA10"/>
      <c r="AB10"/>
      <c r="AC10"/>
      <c r="AD10"/>
      <c r="AE10"/>
      <c r="AF10"/>
    </row>
    <row r="11" spans="2:43" s="16" customFormat="1" x14ac:dyDescent="0.35">
      <c r="B11" s="11" t="s">
        <v>44</v>
      </c>
      <c r="C11" s="12">
        <v>2353.2682020500001</v>
      </c>
      <c r="D11" s="12">
        <v>2904.9823965816672</v>
      </c>
      <c r="E11" s="12">
        <v>4153.0834857870823</v>
      </c>
      <c r="F11" s="12">
        <v>6420.4633700604491</v>
      </c>
      <c r="G11" s="12">
        <v>5876.5509594139994</v>
      </c>
      <c r="H11" s="12">
        <v>7428.8713327966707</v>
      </c>
      <c r="I11" s="12">
        <v>7031.4</v>
      </c>
      <c r="J11" s="12">
        <v>8633.5980899874958</v>
      </c>
      <c r="K11" s="12">
        <v>7142.4500000000016</v>
      </c>
      <c r="L11" s="12">
        <v>7737.7085276334074</v>
      </c>
      <c r="M11" s="12">
        <v>8925.3222865538119</v>
      </c>
      <c r="N11" s="12">
        <v>10859</v>
      </c>
      <c r="O11" s="12">
        <v>9229.1025800000007</v>
      </c>
      <c r="P11" s="12">
        <v>10558.304511874199</v>
      </c>
      <c r="Q11" s="12">
        <v>9802.1158581257896</v>
      </c>
      <c r="R11" s="12">
        <v>12561.819296758</v>
      </c>
      <c r="S11" s="17">
        <v>13064.4746481725</v>
      </c>
      <c r="T11" s="17">
        <v>15593.008458344701</v>
      </c>
      <c r="U11" s="17">
        <v>14638.3987215544</v>
      </c>
      <c r="V11" s="17">
        <v>15697.9858650899</v>
      </c>
      <c r="W11" s="17">
        <v>13858.335866174801</v>
      </c>
      <c r="X11" s="17">
        <v>13360.418694649299</v>
      </c>
      <c r="Y11" s="17">
        <v>13381.217736955699</v>
      </c>
      <c r="Z11" s="17">
        <v>13873.488596707808</v>
      </c>
      <c r="AA11" s="17">
        <v>11619.9660733038</v>
      </c>
      <c r="AB11" s="17">
        <v>9991.5376018254992</v>
      </c>
      <c r="AC11" s="17">
        <v>6730</v>
      </c>
      <c r="AD11" s="17">
        <v>3599.7444896200977</v>
      </c>
      <c r="AE11" s="17">
        <v>2634</v>
      </c>
      <c r="AF11" s="17">
        <v>3422</v>
      </c>
      <c r="AG11" s="17">
        <v>3081</v>
      </c>
      <c r="AH11" s="17">
        <v>3394</v>
      </c>
      <c r="AI11" s="17">
        <v>3735</v>
      </c>
      <c r="AJ11" s="17">
        <v>4708</v>
      </c>
      <c r="AK11" s="17">
        <v>5974</v>
      </c>
      <c r="AL11" s="17">
        <v>5115</v>
      </c>
      <c r="AM11" s="17">
        <v>5179</v>
      </c>
      <c r="AN11" s="17">
        <v>11225</v>
      </c>
      <c r="AO11" s="17">
        <v>4817</v>
      </c>
      <c r="AP11" s="17">
        <v>4644</v>
      </c>
      <c r="AQ11" s="17">
        <v>2995</v>
      </c>
    </row>
    <row r="12" spans="2:43" s="16" customFormat="1" x14ac:dyDescent="0.35">
      <c r="B12" s="11" t="s">
        <v>45</v>
      </c>
      <c r="C12" s="12">
        <v>-2078.3501991500002</v>
      </c>
      <c r="D12" s="12">
        <v>-2393.081084561667</v>
      </c>
      <c r="E12" s="12">
        <v>-3868.2707312397224</v>
      </c>
      <c r="F12" s="12">
        <v>-5534.9648674702094</v>
      </c>
      <c r="G12" s="12">
        <v>-4726.5069244299993</v>
      </c>
      <c r="H12" s="12">
        <v>-6568.9988821696707</v>
      </c>
      <c r="I12" s="12">
        <v>-5751.4</v>
      </c>
      <c r="J12" s="12">
        <v>-7444.8151366779457</v>
      </c>
      <c r="K12" s="12">
        <v>-6444.3100000000013</v>
      </c>
      <c r="L12" s="12">
        <v>-6660.7085276334074</v>
      </c>
      <c r="M12" s="12">
        <v>-7886.3222865538119</v>
      </c>
      <c r="N12" s="12">
        <v>-9260</v>
      </c>
      <c r="O12" s="12">
        <v>-8417.8310700000002</v>
      </c>
      <c r="P12" s="12">
        <v>-9372.5712518742002</v>
      </c>
      <c r="Q12" s="12">
        <v>-8973.1774928575687</v>
      </c>
      <c r="R12" s="12">
        <v>-11543.026002026219</v>
      </c>
      <c r="S12" s="17">
        <v>-11949.212276406726</v>
      </c>
      <c r="T12" s="17">
        <v>-13293.459788141319</v>
      </c>
      <c r="U12" s="17">
        <v>-13328.166797262604</v>
      </c>
      <c r="V12" s="17">
        <v>-14516.394889003757</v>
      </c>
      <c r="W12" s="17">
        <v>-12681.118153564554</v>
      </c>
      <c r="X12" s="17">
        <v>-12552.86392032691</v>
      </c>
      <c r="Y12" s="17">
        <v>-12801.953535807874</v>
      </c>
      <c r="Z12" s="17">
        <v>-13040.162604311272</v>
      </c>
      <c r="AA12" s="17">
        <v>-10838.91072464114</v>
      </c>
      <c r="AB12" s="17">
        <v>-9676.8858773695138</v>
      </c>
      <c r="AC12" s="17">
        <v>-6611</v>
      </c>
      <c r="AD12" s="17">
        <v>-3633.58</v>
      </c>
      <c r="AE12" s="17">
        <f>AE9-AE11</f>
        <v>-2076</v>
      </c>
      <c r="AF12" s="17">
        <f>AF9-AF11</f>
        <v>-3485</v>
      </c>
      <c r="AG12" s="17">
        <f>AG9-AG11</f>
        <v>-3064</v>
      </c>
      <c r="AH12" s="17">
        <v>-3393.163</v>
      </c>
      <c r="AI12" s="17">
        <v>-3735</v>
      </c>
      <c r="AJ12" s="17">
        <v>-4708</v>
      </c>
      <c r="AK12" s="17">
        <f>-AK11</f>
        <v>-5974</v>
      </c>
      <c r="AL12" s="17">
        <f>-AL11</f>
        <v>-5115</v>
      </c>
      <c r="AM12" s="17">
        <f>AM9-AM11</f>
        <v>-5179</v>
      </c>
      <c r="AN12" s="17">
        <f>AN9-AN11</f>
        <v>-11225</v>
      </c>
      <c r="AO12" s="17">
        <f>AO9-AO11</f>
        <v>-4817</v>
      </c>
      <c r="AP12" s="17">
        <f>AP9-AP11</f>
        <v>-4644</v>
      </c>
      <c r="AQ12" s="17">
        <f>AQ9-AQ11</f>
        <v>-2995</v>
      </c>
    </row>
    <row r="13" spans="2:43" s="16" customFormat="1" x14ac:dyDescent="0.35">
      <c r="B13" s="11" t="s">
        <v>46</v>
      </c>
      <c r="C13" s="12">
        <v>40.546334999999999</v>
      </c>
      <c r="D13" s="12">
        <v>55.101675333333333</v>
      </c>
      <c r="E13" s="12">
        <v>80.038580291666619</v>
      </c>
      <c r="F13" s="12">
        <v>102.26709593500004</v>
      </c>
      <c r="G13" s="12">
        <v>221.47129699999999</v>
      </c>
      <c r="H13" s="12">
        <v>354.73816029199992</v>
      </c>
      <c r="I13" s="12">
        <v>351.4</v>
      </c>
      <c r="J13" s="12">
        <v>377.45653575099982</v>
      </c>
      <c r="K13" s="12">
        <v>343.97</v>
      </c>
      <c r="L13" s="12">
        <v>307.84265074157588</v>
      </c>
      <c r="M13" s="12">
        <v>426.97693509357055</v>
      </c>
      <c r="N13" s="12">
        <v>458</v>
      </c>
      <c r="O13" s="12">
        <v>551.77409999999998</v>
      </c>
      <c r="P13" s="12">
        <v>684.28154790929</v>
      </c>
      <c r="Q13" s="12">
        <v>813.60018209070995</v>
      </c>
      <c r="R13" s="12">
        <v>1125.8761099999999</v>
      </c>
      <c r="S13" s="17">
        <v>899.74572999999998</v>
      </c>
      <c r="T13" s="17">
        <v>830.27041029309999</v>
      </c>
      <c r="U13" s="17">
        <v>832.09690970689996</v>
      </c>
      <c r="V13" s="17">
        <v>4428.5331472145299</v>
      </c>
      <c r="W13" s="17">
        <v>1000.28834325743</v>
      </c>
      <c r="X13" s="17">
        <v>987.901537356424</v>
      </c>
      <c r="Y13" s="17">
        <v>1009.06563765523</v>
      </c>
      <c r="Z13" s="17">
        <v>16548.290438187316</v>
      </c>
      <c r="AA13" s="17">
        <v>1128.9726031180301</v>
      </c>
      <c r="AB13" s="17">
        <v>1034.4857315765901</v>
      </c>
      <c r="AC13" s="17">
        <v>977</v>
      </c>
      <c r="AD13" s="17">
        <v>43187.49</v>
      </c>
      <c r="AE13" s="17">
        <v>0</v>
      </c>
      <c r="AF13" s="17">
        <v>1</v>
      </c>
      <c r="AG13" s="17">
        <v>8</v>
      </c>
      <c r="AH13" s="17">
        <v>13.649000000000001</v>
      </c>
      <c r="AI13" s="17">
        <v>12</v>
      </c>
      <c r="AJ13" s="17">
        <v>14</v>
      </c>
      <c r="AK13" s="17">
        <v>12</v>
      </c>
      <c r="AL13" s="17">
        <v>9</v>
      </c>
      <c r="AM13" s="17">
        <v>12</v>
      </c>
      <c r="AN13" s="17">
        <v>158</v>
      </c>
      <c r="AO13" s="17">
        <v>99</v>
      </c>
      <c r="AP13" s="17">
        <v>146</v>
      </c>
      <c r="AQ13" s="17">
        <v>127</v>
      </c>
    </row>
    <row r="14" spans="2:43" s="16" customFormat="1" x14ac:dyDescent="0.35">
      <c r="B14" s="13" t="s">
        <v>47</v>
      </c>
      <c r="C14" s="14">
        <f t="shared" ref="C14:V14" si="2">C9-C11-C13</f>
        <v>-2118.8965341500002</v>
      </c>
      <c r="D14" s="14">
        <f t="shared" si="2"/>
        <v>-2448.1827598950003</v>
      </c>
      <c r="E14" s="14">
        <f t="shared" si="2"/>
        <v>-3948.3093115313891</v>
      </c>
      <c r="F14" s="14">
        <f t="shared" si="2"/>
        <v>-5637.2319634052092</v>
      </c>
      <c r="G14" s="14">
        <f t="shared" si="2"/>
        <v>-4947.9782214299994</v>
      </c>
      <c r="H14" s="14">
        <f t="shared" si="2"/>
        <v>-6923.7370424616702</v>
      </c>
      <c r="I14" s="14">
        <f t="shared" si="2"/>
        <v>-6102.7999999999993</v>
      </c>
      <c r="J14" s="14">
        <f t="shared" si="2"/>
        <v>-7822.2716724289457</v>
      </c>
      <c r="K14" s="14">
        <f t="shared" si="2"/>
        <v>-6788.2800000000016</v>
      </c>
      <c r="L14" s="14">
        <f t="shared" si="2"/>
        <v>-6968.5511783749835</v>
      </c>
      <c r="M14" s="14">
        <f t="shared" si="2"/>
        <v>-8313.2992216473831</v>
      </c>
      <c r="N14" s="14">
        <f t="shared" si="2"/>
        <v>-9718</v>
      </c>
      <c r="O14" s="14">
        <f t="shared" si="2"/>
        <v>-8969.6051700000007</v>
      </c>
      <c r="P14" s="14">
        <f t="shared" si="2"/>
        <v>-10056.85279978349</v>
      </c>
      <c r="Q14" s="14">
        <f t="shared" si="2"/>
        <v>-9786.7776749482782</v>
      </c>
      <c r="R14" s="14">
        <f t="shared" si="2"/>
        <v>-12668.902112026219</v>
      </c>
      <c r="S14" s="14">
        <f t="shared" si="2"/>
        <v>-12848.958006406727</v>
      </c>
      <c r="T14" s="14">
        <f t="shared" si="2"/>
        <v>-14123.730198434419</v>
      </c>
      <c r="U14" s="14">
        <f t="shared" si="2"/>
        <v>-14160.263706969503</v>
      </c>
      <c r="V14" s="14">
        <f t="shared" si="2"/>
        <v>-18944.928036218287</v>
      </c>
      <c r="W14" s="14">
        <v>-13681.406496821995</v>
      </c>
      <c r="X14" s="14">
        <v>-13540.765457683303</v>
      </c>
      <c r="Y14" s="14">
        <v>-13811.019173463104</v>
      </c>
      <c r="Z14" s="14">
        <v>-29588.453042498615</v>
      </c>
      <c r="AA14" s="14">
        <v>-11967.883327759171</v>
      </c>
      <c r="AB14" s="14">
        <v>-10711.371608946103</v>
      </c>
      <c r="AC14" s="14">
        <v>-7588</v>
      </c>
      <c r="AD14" s="14">
        <v>-43769.530222153509</v>
      </c>
      <c r="AE14" s="14">
        <v>-2076</v>
      </c>
      <c r="AF14" s="14">
        <v>-3486</v>
      </c>
      <c r="AG14" s="14">
        <f>AG12-AG13</f>
        <v>-3072</v>
      </c>
      <c r="AH14" s="14">
        <v>-3406.8119999999999</v>
      </c>
      <c r="AI14" s="14">
        <v>-3747</v>
      </c>
      <c r="AJ14" s="14">
        <v>-4722</v>
      </c>
      <c r="AK14" s="14">
        <f t="shared" ref="AK14:AP14" si="3">AK12-AK13</f>
        <v>-5986</v>
      </c>
      <c r="AL14" s="14">
        <f t="shared" si="3"/>
        <v>-5124</v>
      </c>
      <c r="AM14" s="14">
        <f t="shared" si="3"/>
        <v>-5191</v>
      </c>
      <c r="AN14" s="14">
        <f t="shared" si="3"/>
        <v>-11383</v>
      </c>
      <c r="AO14" s="14">
        <f t="shared" si="3"/>
        <v>-4916</v>
      </c>
      <c r="AP14" s="14">
        <f t="shared" si="3"/>
        <v>-4790</v>
      </c>
      <c r="AQ14" s="14">
        <f t="shared" ref="AQ14" si="4">AQ12-AQ13</f>
        <v>-3122</v>
      </c>
    </row>
    <row r="15" spans="2:43" x14ac:dyDescent="0.35">
      <c r="B15" s="9"/>
      <c r="C15" s="14"/>
      <c r="D15" s="14"/>
      <c r="E15" s="14"/>
      <c r="F15" s="14"/>
      <c r="G15" s="14"/>
      <c r="H15" s="14"/>
      <c r="I15" s="14"/>
      <c r="J15" s="14"/>
      <c r="K15" s="14"/>
      <c r="L15" s="14"/>
      <c r="M15" s="14"/>
      <c r="P15"/>
      <c r="W15"/>
      <c r="X15"/>
      <c r="Y15"/>
      <c r="Z15"/>
      <c r="AA15"/>
      <c r="AB15"/>
      <c r="AC15"/>
      <c r="AD15"/>
      <c r="AE15"/>
      <c r="AF15"/>
    </row>
    <row r="16" spans="2:43" s="16" customFormat="1" x14ac:dyDescent="0.35">
      <c r="B16" s="13" t="s">
        <v>48</v>
      </c>
      <c r="C16" s="12">
        <v>48.873666790555248</v>
      </c>
      <c r="D16" s="12">
        <v>24.245265267445077</v>
      </c>
      <c r="E16" s="12">
        <v>70.590504998248406</v>
      </c>
      <c r="F16" s="12">
        <v>169.20723938815073</v>
      </c>
      <c r="G16" s="12">
        <v>181.46324991100025</v>
      </c>
      <c r="H16" s="12">
        <v>228.60608874599896</v>
      </c>
      <c r="I16" s="12">
        <v>158.14327712850081</v>
      </c>
      <c r="J16" s="12">
        <v>132.56423412030244</v>
      </c>
      <c r="K16" s="12">
        <v>60.17</v>
      </c>
      <c r="L16" s="12">
        <v>53</v>
      </c>
      <c r="M16" s="12">
        <v>1925</v>
      </c>
      <c r="N16" s="12">
        <v>368</v>
      </c>
      <c r="O16" s="12">
        <v>-967.24924999999996</v>
      </c>
      <c r="P16" s="12">
        <v>-453.63542999999999</v>
      </c>
      <c r="Q16" s="12">
        <v>111.11044328243997</v>
      </c>
      <c r="R16" s="12">
        <v>-1421.24600974702</v>
      </c>
      <c r="S16" s="17">
        <v>788.286442960979</v>
      </c>
      <c r="T16" s="15">
        <v>338.7334673633809</v>
      </c>
      <c r="U16" s="15">
        <v>404.82628155760017</v>
      </c>
      <c r="V16" s="15">
        <v>-1157.52358779939</v>
      </c>
      <c r="W16" s="15">
        <v>4033.7033919034511</v>
      </c>
      <c r="X16" s="15">
        <v>-2060.9380626191028</v>
      </c>
      <c r="Y16" s="15">
        <v>-487.81085449409238</v>
      </c>
      <c r="Z16" s="15">
        <v>-2574.1443912740151</v>
      </c>
      <c r="AA16" s="15">
        <v>194.81734772912853</v>
      </c>
      <c r="AB16" s="15">
        <v>-122.19297616648413</v>
      </c>
      <c r="AC16" s="15">
        <v>-611</v>
      </c>
      <c r="AD16" s="15">
        <v>-828.23055329543581</v>
      </c>
      <c r="AE16" s="15">
        <v>-751</v>
      </c>
      <c r="AF16" s="15">
        <v>-1770</v>
      </c>
      <c r="AG16" s="15">
        <v>-9249</v>
      </c>
      <c r="AH16" s="15">
        <v>-15302</v>
      </c>
      <c r="AI16" s="15">
        <v>-1015</v>
      </c>
      <c r="AJ16" s="15">
        <v>-11451</v>
      </c>
      <c r="AK16" s="15">
        <v>1825</v>
      </c>
      <c r="AL16" s="15">
        <v>-745</v>
      </c>
      <c r="AM16" s="15">
        <v>-1217</v>
      </c>
      <c r="AN16" s="15">
        <v>-719</v>
      </c>
      <c r="AO16" s="15">
        <v>516</v>
      </c>
      <c r="AP16" s="15">
        <v>-3336</v>
      </c>
      <c r="AQ16" s="15">
        <v>-418</v>
      </c>
    </row>
    <row r="17" spans="2:43" ht="15" thickBot="1" x14ac:dyDescent="0.4">
      <c r="B17" s="18" t="s">
        <v>49</v>
      </c>
      <c r="C17" s="19">
        <f t="shared" ref="C17:Q17" si="5">C14+C16</f>
        <v>-2070.0228673594452</v>
      </c>
      <c r="D17" s="19">
        <f t="shared" si="5"/>
        <v>-2423.9374946275552</v>
      </c>
      <c r="E17" s="19">
        <f t="shared" si="5"/>
        <v>-3877.7188065331407</v>
      </c>
      <c r="F17" s="19">
        <f t="shared" si="5"/>
        <v>-5468.0247240170584</v>
      </c>
      <c r="G17" s="19">
        <f t="shared" si="5"/>
        <v>-4766.5149715189991</v>
      </c>
      <c r="H17" s="19">
        <f t="shared" si="5"/>
        <v>-6695.1309537156712</v>
      </c>
      <c r="I17" s="19">
        <f t="shared" si="5"/>
        <v>-5944.6567228714985</v>
      </c>
      <c r="J17" s="19">
        <f t="shared" si="5"/>
        <v>-7689.7074383086438</v>
      </c>
      <c r="K17" s="19">
        <f t="shared" si="5"/>
        <v>-6728.1100000000015</v>
      </c>
      <c r="L17" s="19">
        <f t="shared" si="5"/>
        <v>-6915.5511783749835</v>
      </c>
      <c r="M17" s="19">
        <f t="shared" si="5"/>
        <v>-6388.2992216473831</v>
      </c>
      <c r="N17" s="19">
        <f t="shared" si="5"/>
        <v>-9350</v>
      </c>
      <c r="O17" s="19">
        <f t="shared" si="5"/>
        <v>-9936.8544200000015</v>
      </c>
      <c r="P17" s="19">
        <f t="shared" si="5"/>
        <v>-10510.48822978349</v>
      </c>
      <c r="Q17" s="19">
        <f t="shared" si="5"/>
        <v>-9675.6672316658387</v>
      </c>
      <c r="R17" s="19">
        <f>R14+R16</f>
        <v>-14090.148121773238</v>
      </c>
      <c r="S17" s="19">
        <f>S14+S16</f>
        <v>-12060.671563445747</v>
      </c>
      <c r="T17" s="19">
        <f>T14+T16</f>
        <v>-13784.996731071038</v>
      </c>
      <c r="U17" s="19">
        <f>U14+U16</f>
        <v>-13755.437425411903</v>
      </c>
      <c r="V17" s="19">
        <f>V14+V16</f>
        <v>-20102.451624017678</v>
      </c>
      <c r="W17" s="19">
        <v>-9647.7031049185443</v>
      </c>
      <c r="X17" s="19">
        <v>-15601.703520302404</v>
      </c>
      <c r="Y17" s="19">
        <v>-14298.830027957196</v>
      </c>
      <c r="Z17" s="19">
        <v>-32162.597433772622</v>
      </c>
      <c r="AA17" s="19">
        <v>-11773.065980030042</v>
      </c>
      <c r="AB17" s="19">
        <v>-10833.564585112586</v>
      </c>
      <c r="AC17" s="19">
        <v>-8199</v>
      </c>
      <c r="AD17" s="19">
        <v>-47650.31</v>
      </c>
      <c r="AE17" s="19">
        <v>-2827</v>
      </c>
      <c r="AF17" s="19">
        <v>-5256</v>
      </c>
      <c r="AG17" s="19">
        <f>AG16+AG14</f>
        <v>-12321</v>
      </c>
      <c r="AH17" s="19">
        <v>-18708.811999999998</v>
      </c>
      <c r="AI17" s="19">
        <v>-4761</v>
      </c>
      <c r="AJ17" s="19">
        <v>-16173</v>
      </c>
      <c r="AK17" s="19">
        <f t="shared" ref="AK17:AP17" si="6">AK16+AK14</f>
        <v>-4161</v>
      </c>
      <c r="AL17" s="19">
        <f t="shared" si="6"/>
        <v>-5869</v>
      </c>
      <c r="AM17" s="19">
        <f t="shared" si="6"/>
        <v>-6408</v>
      </c>
      <c r="AN17" s="19">
        <f t="shared" si="6"/>
        <v>-12102</v>
      </c>
      <c r="AO17" s="19">
        <f t="shared" si="6"/>
        <v>-4400</v>
      </c>
      <c r="AP17" s="19">
        <f t="shared" si="6"/>
        <v>-8126</v>
      </c>
      <c r="AQ17" s="19">
        <f t="shared" ref="AQ17" si="7">AQ16+AQ14</f>
        <v>-3540</v>
      </c>
    </row>
    <row r="18" spans="2:43" ht="15.5" thickTop="1" thickBot="1" x14ac:dyDescent="0.4">
      <c r="B18" s="20" t="s">
        <v>50</v>
      </c>
      <c r="C18" s="21">
        <v>0</v>
      </c>
      <c r="D18" s="21">
        <v>0</v>
      </c>
      <c r="E18" s="21">
        <v>0</v>
      </c>
      <c r="F18" s="21">
        <v>0</v>
      </c>
      <c r="G18" s="21">
        <v>0</v>
      </c>
      <c r="H18" s="21">
        <v>0</v>
      </c>
      <c r="I18" s="21">
        <v>0</v>
      </c>
      <c r="J18" s="21">
        <v>0</v>
      </c>
      <c r="K18" s="21">
        <v>0</v>
      </c>
      <c r="L18" s="21">
        <v>0</v>
      </c>
      <c r="M18" s="21">
        <v>0</v>
      </c>
      <c r="N18" s="21">
        <v>0</v>
      </c>
      <c r="O18" s="21">
        <v>299</v>
      </c>
      <c r="P18" s="21">
        <v>0.70623999999997999</v>
      </c>
      <c r="Q18" s="21">
        <v>0.70623999999997999</v>
      </c>
      <c r="R18" s="21">
        <v>19.151536128216001</v>
      </c>
      <c r="S18" s="21">
        <v>-0.84999000000000002</v>
      </c>
      <c r="T18" s="21">
        <v>-32.325015512665004</v>
      </c>
      <c r="U18" s="21">
        <v>-5.8613140905305983</v>
      </c>
      <c r="V18" s="21">
        <v>161.30775823379793</v>
      </c>
      <c r="W18" s="21">
        <v>-2.9974619885103979</v>
      </c>
      <c r="X18" s="21">
        <v>-2.4031190490819392</v>
      </c>
      <c r="Y18" s="21">
        <v>-3.0271012267317357</v>
      </c>
      <c r="Z18" s="21">
        <v>-3.0332862231275524</v>
      </c>
      <c r="AA18" s="21">
        <v>-2.2805288027339858</v>
      </c>
      <c r="AB18" s="21">
        <v>11.012764852200259</v>
      </c>
      <c r="AC18" s="21">
        <v>1</v>
      </c>
      <c r="AD18" s="21">
        <v>-1.2912231653416164</v>
      </c>
      <c r="AE18" s="21">
        <v>0</v>
      </c>
      <c r="AF18" s="21">
        <v>0</v>
      </c>
      <c r="AG18" s="21"/>
      <c r="AH18" s="21"/>
      <c r="AI18" s="21"/>
      <c r="AJ18" s="21"/>
      <c r="AK18" s="21"/>
      <c r="AL18" s="21"/>
      <c r="AM18" s="21"/>
      <c r="AN18" s="21"/>
      <c r="AO18" s="21"/>
      <c r="AP18" s="21"/>
      <c r="AQ18" s="21"/>
    </row>
    <row r="19" spans="2:43" ht="15" thickBot="1" x14ac:dyDescent="0.4">
      <c r="B19" s="22" t="s">
        <v>51</v>
      </c>
      <c r="C19" s="23">
        <f t="shared" ref="C19:N19" si="8">+C17-C18</f>
        <v>-2070.0228673594452</v>
      </c>
      <c r="D19" s="23">
        <f t="shared" si="8"/>
        <v>-2423.9374946275552</v>
      </c>
      <c r="E19" s="23">
        <f t="shared" si="8"/>
        <v>-3877.7188065331407</v>
      </c>
      <c r="F19" s="23">
        <f t="shared" si="8"/>
        <v>-5468.0247240170584</v>
      </c>
      <c r="G19" s="23">
        <f t="shared" si="8"/>
        <v>-4766.5149715189991</v>
      </c>
      <c r="H19" s="23">
        <f t="shared" si="8"/>
        <v>-6695.1309537156712</v>
      </c>
      <c r="I19" s="23">
        <f t="shared" si="8"/>
        <v>-5944.6567228714985</v>
      </c>
      <c r="J19" s="23">
        <f t="shared" si="8"/>
        <v>-7689.7074383086438</v>
      </c>
      <c r="K19" s="23">
        <f t="shared" si="8"/>
        <v>-6728.1100000000015</v>
      </c>
      <c r="L19" s="23">
        <f t="shared" si="8"/>
        <v>-6915.5511783749835</v>
      </c>
      <c r="M19" s="23">
        <f t="shared" si="8"/>
        <v>-6388.2992216473831</v>
      </c>
      <c r="N19" s="23">
        <f t="shared" si="8"/>
        <v>-9350</v>
      </c>
      <c r="O19" s="23">
        <f>+O17-O18</f>
        <v>-10235.854420000001</v>
      </c>
      <c r="P19" s="23">
        <f>+P17-P18</f>
        <v>-10511.19446978349</v>
      </c>
      <c r="Q19" s="23">
        <f>+Q17-Q18-1</f>
        <v>-9677.3734716658382</v>
      </c>
      <c r="R19" s="23">
        <f>+R17+R18</f>
        <v>-14070.996585645022</v>
      </c>
      <c r="S19" s="23">
        <f>+S17+S18</f>
        <v>-12061.521553445747</v>
      </c>
      <c r="T19" s="23">
        <f>+T17+T18</f>
        <v>-13817.321746583702</v>
      </c>
      <c r="U19" s="23">
        <f>+U17+U18</f>
        <v>-13761.298739502434</v>
      </c>
      <c r="V19" s="23">
        <f>+V17+V18</f>
        <v>-19941.143865783881</v>
      </c>
      <c r="W19" s="23">
        <v>-9650.700566907055</v>
      </c>
      <c r="X19" s="23">
        <v>-15604.106639351487</v>
      </c>
      <c r="Y19" s="23">
        <v>-14301.857129183927</v>
      </c>
      <c r="Z19" s="23">
        <v>-32165.630719995745</v>
      </c>
      <c r="AA19" s="23">
        <v>-11775.346508832776</v>
      </c>
      <c r="AB19" s="23">
        <v>-10822.551820260385</v>
      </c>
      <c r="AC19" s="23">
        <v>-8198</v>
      </c>
      <c r="AD19" s="23">
        <f>-47651.6</f>
        <v>-47651.6</v>
      </c>
      <c r="AE19" s="23">
        <v>-2827</v>
      </c>
      <c r="AF19" s="23">
        <v>-5256</v>
      </c>
      <c r="AG19" s="23">
        <f>AG17</f>
        <v>-12321</v>
      </c>
      <c r="AH19" s="23">
        <v>-18708.811999999998</v>
      </c>
      <c r="AI19" s="23">
        <v>-4761</v>
      </c>
      <c r="AJ19" s="23">
        <v>-16173</v>
      </c>
      <c r="AK19" s="23">
        <f t="shared" ref="AK19:AP19" si="9">AK17</f>
        <v>-4161</v>
      </c>
      <c r="AL19" s="23">
        <f t="shared" si="9"/>
        <v>-5869</v>
      </c>
      <c r="AM19" s="23">
        <f t="shared" si="9"/>
        <v>-6408</v>
      </c>
      <c r="AN19" s="23">
        <f t="shared" si="9"/>
        <v>-12102</v>
      </c>
      <c r="AO19" s="23">
        <f t="shared" si="9"/>
        <v>-4400</v>
      </c>
      <c r="AP19" s="23">
        <f t="shared" si="9"/>
        <v>-8126</v>
      </c>
      <c r="AQ19" s="23">
        <f t="shared" ref="AQ19" si="10">AQ17</f>
        <v>-3540</v>
      </c>
    </row>
    <row r="20" spans="2:43" ht="15" thickTop="1" x14ac:dyDescent="0.35">
      <c r="B20" s="16"/>
      <c r="P20"/>
    </row>
    <row r="21" spans="2:43" s="54" customFormat="1" x14ac:dyDescent="0.35">
      <c r="B21" s="9" t="s">
        <v>52</v>
      </c>
      <c r="C21" s="53"/>
      <c r="D21" s="53"/>
      <c r="E21" s="53"/>
      <c r="F21" s="53"/>
      <c r="G21" s="53"/>
      <c r="H21" s="53"/>
      <c r="I21" s="53"/>
      <c r="J21" s="53"/>
      <c r="K21" s="53"/>
      <c r="L21" s="53"/>
      <c r="M21" s="53"/>
      <c r="N21" s="53"/>
      <c r="O21" s="53"/>
      <c r="W21" s="60">
        <v>-8.2352882576104368E-3</v>
      </c>
      <c r="X21" s="60">
        <v>-1.3315542771910556E-2</v>
      </c>
      <c r="Y21" s="60">
        <v>-1.2204286648563763E-2</v>
      </c>
      <c r="Z21" s="60">
        <v>-2.7448084118924215E-2</v>
      </c>
      <c r="AA21" s="60">
        <v>-1.0048324695308987E-2</v>
      </c>
      <c r="AB21" s="60">
        <v>-1.0048324695308987E-2</v>
      </c>
      <c r="AC21" s="60">
        <v>-1.0048324695308987E-2</v>
      </c>
      <c r="AD21" s="61">
        <v>-1.31</v>
      </c>
      <c r="AE21" s="61">
        <v>-0.05</v>
      </c>
      <c r="AF21" s="61">
        <v>-0.02</v>
      </c>
      <c r="AG21" s="61">
        <v>-0.02</v>
      </c>
      <c r="AH21" s="61">
        <v>-0.02</v>
      </c>
      <c r="AI21" s="61">
        <v>0</v>
      </c>
      <c r="AJ21" s="61">
        <v>-0.02</v>
      </c>
      <c r="AK21" s="61">
        <v>-0.03</v>
      </c>
      <c r="AL21" s="61">
        <v>0</v>
      </c>
      <c r="AM21" s="61">
        <v>-0.03</v>
      </c>
      <c r="AN21" s="61">
        <v>-0.06</v>
      </c>
      <c r="AO21" s="61">
        <v>-0.02</v>
      </c>
      <c r="AP21" s="61">
        <v>-0.04</v>
      </c>
      <c r="AQ21" s="61">
        <v>-0.01</v>
      </c>
    </row>
    <row r="22" spans="2:43" s="54" customFormat="1" x14ac:dyDescent="0.35">
      <c r="B22" s="9" t="s">
        <v>53</v>
      </c>
      <c r="C22" s="53"/>
      <c r="D22" s="53"/>
      <c r="E22" s="53"/>
      <c r="F22" s="53"/>
      <c r="G22" s="53"/>
      <c r="H22" s="53"/>
      <c r="I22" s="53"/>
      <c r="J22" s="53"/>
      <c r="K22" s="53"/>
      <c r="L22" s="53"/>
      <c r="M22" s="53"/>
      <c r="N22" s="53"/>
      <c r="O22" s="53"/>
      <c r="W22" s="62">
        <v>1171871617</v>
      </c>
      <c r="X22" s="62">
        <v>1171871617</v>
      </c>
      <c r="Y22" s="62">
        <v>1171871617</v>
      </c>
      <c r="Z22" s="62">
        <v>1171871617</v>
      </c>
      <c r="AA22" s="62">
        <v>1171871617</v>
      </c>
      <c r="AB22" s="62">
        <v>1171871617</v>
      </c>
      <c r="AC22" s="62">
        <v>1171871617</v>
      </c>
      <c r="AD22" s="63">
        <v>58593581</v>
      </c>
      <c r="AE22" s="63">
        <v>58593581</v>
      </c>
      <c r="AF22" s="63">
        <v>111112347</v>
      </c>
      <c r="AG22" s="63">
        <v>248238461</v>
      </c>
      <c r="AH22" s="63">
        <v>824867248</v>
      </c>
      <c r="AI22" s="63">
        <v>1046237575</v>
      </c>
      <c r="AJ22" s="63">
        <v>1111145783.9005525</v>
      </c>
      <c r="AK22" s="63">
        <v>1326247672.9166667</v>
      </c>
      <c r="AL22" s="63">
        <v>1746497852</v>
      </c>
      <c r="AM22" s="63">
        <v>204348330</v>
      </c>
      <c r="AN22" s="63">
        <v>208604253</v>
      </c>
      <c r="AO22" s="63">
        <v>210907783.43671262</v>
      </c>
      <c r="AP22" s="63">
        <v>227866114.4903383</v>
      </c>
      <c r="AQ22" s="63">
        <v>272006275</v>
      </c>
    </row>
    <row r="23" spans="2:43" x14ac:dyDescent="0.35">
      <c r="B23" s="9"/>
      <c r="P23"/>
      <c r="AM23" t="s">
        <v>54</v>
      </c>
    </row>
    <row r="24" spans="2:43" x14ac:dyDescent="0.35">
      <c r="B24" s="9" t="s">
        <v>55</v>
      </c>
      <c r="C24" s="24">
        <v>24</v>
      </c>
      <c r="D24" s="24">
        <v>25</v>
      </c>
      <c r="E24" s="24">
        <v>32</v>
      </c>
      <c r="F24" s="24">
        <v>40</v>
      </c>
      <c r="G24" s="24">
        <v>73</v>
      </c>
      <c r="H24" s="24">
        <v>82</v>
      </c>
      <c r="I24" s="24">
        <v>83</v>
      </c>
      <c r="J24" s="24">
        <v>90</v>
      </c>
      <c r="K24" s="24">
        <v>94</v>
      </c>
      <c r="L24" s="24">
        <v>105</v>
      </c>
      <c r="M24" s="24">
        <v>112</v>
      </c>
      <c r="N24" s="24">
        <v>106</v>
      </c>
      <c r="O24" s="24">
        <v>104</v>
      </c>
      <c r="P24" s="24">
        <v>114</v>
      </c>
      <c r="Q24" s="24">
        <v>127</v>
      </c>
      <c r="R24" s="24">
        <v>134</v>
      </c>
      <c r="S24" s="24">
        <v>152</v>
      </c>
      <c r="T24" s="24">
        <v>162</v>
      </c>
      <c r="U24" s="24">
        <v>171</v>
      </c>
      <c r="V24" s="24">
        <v>167</v>
      </c>
      <c r="W24" s="66">
        <v>157</v>
      </c>
      <c r="X24" s="66">
        <v>175</v>
      </c>
      <c r="Y24" s="66">
        <v>159</v>
      </c>
      <c r="Z24" s="66">
        <v>155</v>
      </c>
      <c r="AA24" s="66">
        <v>146</v>
      </c>
      <c r="AB24" s="63">
        <v>66</v>
      </c>
      <c r="AC24" s="63">
        <v>25</v>
      </c>
      <c r="AD24" s="63">
        <v>23</v>
      </c>
      <c r="AE24" s="63">
        <v>18</v>
      </c>
      <c r="AF24" s="63">
        <v>18</v>
      </c>
      <c r="AG24" s="63">
        <v>19</v>
      </c>
      <c r="AH24" s="63">
        <v>22</v>
      </c>
      <c r="AI24" s="63">
        <v>27</v>
      </c>
      <c r="AJ24" s="63">
        <v>33</v>
      </c>
      <c r="AK24" s="63">
        <v>35</v>
      </c>
      <c r="AL24" s="63">
        <v>38</v>
      </c>
      <c r="AM24" s="63">
        <v>36</v>
      </c>
      <c r="AN24" s="63">
        <v>36</v>
      </c>
      <c r="AO24" s="63">
        <v>41</v>
      </c>
      <c r="AP24" s="63">
        <v>37</v>
      </c>
      <c r="AQ24" s="63">
        <v>28</v>
      </c>
    </row>
    <row r="25" spans="2:43" x14ac:dyDescent="0.35">
      <c r="P25"/>
      <c r="W25" s="67"/>
      <c r="X25" s="67"/>
      <c r="Y25" s="67"/>
      <c r="Z25" s="67"/>
      <c r="AA25" s="67"/>
      <c r="AB25" s="67"/>
      <c r="AC25" s="67"/>
      <c r="AD25" s="67"/>
      <c r="AE25" s="67"/>
      <c r="AF25" s="67"/>
      <c r="AG25" s="67"/>
      <c r="AH25" s="67"/>
      <c r="AI25" s="67"/>
      <c r="AJ25" s="67"/>
      <c r="AK25" s="67"/>
      <c r="AL25" s="67"/>
      <c r="AM25" s="67"/>
      <c r="AN25" s="67"/>
      <c r="AO25" s="67"/>
      <c r="AP25" s="67"/>
      <c r="AQ25" s="67"/>
    </row>
    <row r="26" spans="2:43" x14ac:dyDescent="0.35">
      <c r="B26" s="25" t="s">
        <v>56</v>
      </c>
      <c r="P26"/>
      <c r="W26" s="67"/>
      <c r="X26" s="67"/>
      <c r="Y26" s="67"/>
      <c r="Z26" s="67"/>
      <c r="AA26" s="67"/>
      <c r="AB26" s="67"/>
      <c r="AC26" s="67"/>
      <c r="AD26" s="67"/>
      <c r="AE26" s="67"/>
      <c r="AF26" s="67"/>
      <c r="AG26" s="67"/>
      <c r="AH26" s="67"/>
      <c r="AI26" s="67"/>
      <c r="AJ26" s="67"/>
      <c r="AK26" s="67"/>
      <c r="AL26" s="67"/>
      <c r="AM26" s="67"/>
      <c r="AN26" s="67"/>
      <c r="AO26" s="67"/>
      <c r="AP26" s="67"/>
      <c r="AQ26" s="67"/>
    </row>
    <row r="27" spans="2:43" x14ac:dyDescent="0.35">
      <c r="B27" s="9" t="s">
        <v>57</v>
      </c>
      <c r="G27" s="26">
        <v>3560</v>
      </c>
      <c r="H27" s="26">
        <v>3584</v>
      </c>
      <c r="I27" s="26">
        <v>2691</v>
      </c>
      <c r="J27" s="26">
        <v>3823.9465549409997</v>
      </c>
      <c r="K27" s="26">
        <v>4224</v>
      </c>
      <c r="L27" s="26">
        <v>3797</v>
      </c>
      <c r="M27" s="26">
        <v>4051</v>
      </c>
      <c r="N27" s="26">
        <v>4591</v>
      </c>
      <c r="O27" s="26">
        <v>4647.5890581459653</v>
      </c>
      <c r="P27" s="26">
        <v>5146.5009418540349</v>
      </c>
      <c r="Q27" s="26">
        <v>5470.0127545526993</v>
      </c>
      <c r="R27" s="26">
        <v>5409.5637430539209</v>
      </c>
      <c r="S27" s="26">
        <v>6150.9657940762945</v>
      </c>
      <c r="T27" s="26">
        <v>7614.7034177496053</v>
      </c>
      <c r="U27" s="26">
        <v>7146.5339545637589</v>
      </c>
      <c r="V27" s="26">
        <v>7212.1913364439934</v>
      </c>
      <c r="W27" s="26">
        <v>7154.831309982882</v>
      </c>
      <c r="X27" s="26">
        <v>8406.4775440367557</v>
      </c>
      <c r="Y27" s="26">
        <v>8126.7534659216763</v>
      </c>
      <c r="Z27" s="26">
        <v>8187.3639440625157</v>
      </c>
      <c r="AA27" s="26">
        <v>7152.6189297253395</v>
      </c>
      <c r="AB27" s="26">
        <v>6185.5364684119422</v>
      </c>
      <c r="AC27" s="26">
        <v>2814</v>
      </c>
      <c r="AD27" s="26">
        <v>1485.8446018627183</v>
      </c>
      <c r="AE27" s="26">
        <v>820</v>
      </c>
      <c r="AF27" s="26">
        <v>903</v>
      </c>
      <c r="AG27" s="26">
        <v>859</v>
      </c>
      <c r="AH27" s="26">
        <v>2184</v>
      </c>
      <c r="AI27" s="26">
        <v>1520</v>
      </c>
      <c r="AJ27" s="26">
        <v>1794</v>
      </c>
      <c r="AK27" s="26">
        <v>2052</v>
      </c>
      <c r="AL27" s="26">
        <v>1941</v>
      </c>
      <c r="AM27" s="26">
        <v>2116</v>
      </c>
      <c r="AN27" s="26">
        <v>2219</v>
      </c>
      <c r="AO27" s="26">
        <v>2419.7463704613228</v>
      </c>
      <c r="AP27" s="26">
        <v>2172</v>
      </c>
      <c r="AQ27" s="26">
        <v>1021</v>
      </c>
    </row>
    <row r="28" spans="2:43" x14ac:dyDescent="0.35">
      <c r="B28" s="9" t="s">
        <v>58</v>
      </c>
      <c r="G28" s="26">
        <v>-793</v>
      </c>
      <c r="H28" s="26">
        <v>596</v>
      </c>
      <c r="I28" s="26">
        <v>505</v>
      </c>
      <c r="J28" s="26">
        <v>632.9883114836</v>
      </c>
      <c r="K28" s="26">
        <v>41</v>
      </c>
      <c r="L28" s="26">
        <v>352</v>
      </c>
      <c r="M28" s="26">
        <v>195</v>
      </c>
      <c r="N28" s="26">
        <v>476</v>
      </c>
      <c r="O28" s="26">
        <v>185.74799999999999</v>
      </c>
      <c r="P28" s="26">
        <v>413.07300000000004</v>
      </c>
      <c r="Q28" s="26">
        <v>273.126882273516</v>
      </c>
      <c r="R28" s="26">
        <v>308.42589258639384</v>
      </c>
      <c r="S28" s="26">
        <v>376.553</v>
      </c>
      <c r="T28" s="26">
        <v>529.79154158050198</v>
      </c>
      <c r="U28" s="26">
        <v>429.98085823151359</v>
      </c>
      <c r="V28" s="26">
        <v>634.79801369460279</v>
      </c>
      <c r="W28" s="26">
        <v>576.90903000000003</v>
      </c>
      <c r="X28" s="26">
        <v>117.87854424483578</v>
      </c>
      <c r="Y28" s="26">
        <v>505.88063</v>
      </c>
      <c r="Z28" s="26">
        <v>167.98864398995966</v>
      </c>
      <c r="AA28" s="26">
        <v>271.38529999999997</v>
      </c>
      <c r="AB28" s="26">
        <v>363.49566999999996</v>
      </c>
      <c r="AC28" s="26">
        <v>-519</v>
      </c>
      <c r="AD28" s="26">
        <v>74.119030000000066</v>
      </c>
      <c r="AE28" s="26">
        <v>71</v>
      </c>
      <c r="AF28" s="26">
        <v>80</v>
      </c>
      <c r="AG28" s="26">
        <v>83</v>
      </c>
      <c r="AH28" s="26">
        <v>445</v>
      </c>
      <c r="AI28" s="26">
        <v>529</v>
      </c>
      <c r="AJ28" s="26">
        <v>989</v>
      </c>
      <c r="AK28" s="26">
        <v>2034</v>
      </c>
      <c r="AL28" s="26">
        <v>1381</v>
      </c>
      <c r="AM28" s="26">
        <v>1374</v>
      </c>
      <c r="AN28" s="26">
        <v>1792</v>
      </c>
      <c r="AO28" s="26">
        <v>349.31512000000021</v>
      </c>
      <c r="AP28" s="26">
        <v>451</v>
      </c>
      <c r="AQ28" s="26">
        <v>326</v>
      </c>
    </row>
    <row r="29" spans="2:43" x14ac:dyDescent="0.35">
      <c r="B29" s="9" t="s">
        <v>59</v>
      </c>
      <c r="G29" s="26">
        <v>1569</v>
      </c>
      <c r="H29" s="26">
        <v>1334</v>
      </c>
      <c r="I29" s="26">
        <v>1910</v>
      </c>
      <c r="J29" s="26">
        <v>1847.9291655186007</v>
      </c>
      <c r="K29" s="26">
        <v>751</v>
      </c>
      <c r="L29" s="26">
        <v>938</v>
      </c>
      <c r="M29" s="26">
        <v>1793</v>
      </c>
      <c r="N29" s="26">
        <v>1653</v>
      </c>
      <c r="O29" s="26">
        <v>945.01635642923077</v>
      </c>
      <c r="P29" s="26">
        <v>1252.2267610053423</v>
      </c>
      <c r="Q29" s="26">
        <v>1278.0513211292764</v>
      </c>
      <c r="R29" s="26">
        <v>1570.8889854291156</v>
      </c>
      <c r="S29" s="26">
        <v>1277.8332493292687</v>
      </c>
      <c r="T29" s="26">
        <v>1530.1667506707313</v>
      </c>
      <c r="U29" s="26">
        <v>1300</v>
      </c>
      <c r="V29" s="26">
        <v>1829.4561087187722</v>
      </c>
      <c r="W29" s="26">
        <v>1747.6406320284948</v>
      </c>
      <c r="X29" s="26">
        <v>1341.7355189143075</v>
      </c>
      <c r="Y29" s="26">
        <v>1273.1863705472686</v>
      </c>
      <c r="Z29" s="26">
        <v>1117.411576702347</v>
      </c>
      <c r="AA29" s="26">
        <v>1154.0077611996555</v>
      </c>
      <c r="AB29" s="26">
        <v>2007.6278991354541</v>
      </c>
      <c r="AC29" s="26">
        <v>594</v>
      </c>
      <c r="AD29" s="26">
        <v>382.36433966489039</v>
      </c>
      <c r="AE29" s="26">
        <v>229</v>
      </c>
      <c r="AF29" s="26">
        <v>906</v>
      </c>
      <c r="AG29" s="26">
        <v>773</v>
      </c>
      <c r="AH29" s="26">
        <v>-100</v>
      </c>
      <c r="AI29" s="26">
        <v>425</v>
      </c>
      <c r="AJ29" s="26">
        <v>616</v>
      </c>
      <c r="AK29" s="26">
        <v>469</v>
      </c>
      <c r="AL29" s="26">
        <v>621</v>
      </c>
      <c r="AM29" s="26">
        <v>539</v>
      </c>
      <c r="AN29" s="26">
        <v>488</v>
      </c>
      <c r="AO29" s="26">
        <v>331.36647597102183</v>
      </c>
      <c r="AP29" s="26">
        <v>627</v>
      </c>
      <c r="AQ29" s="26">
        <v>360</v>
      </c>
    </row>
    <row r="30" spans="2:43" x14ac:dyDescent="0.35">
      <c r="B30" s="9" t="s">
        <v>60</v>
      </c>
      <c r="G30" s="26">
        <v>1028</v>
      </c>
      <c r="H30" s="26">
        <v>1309</v>
      </c>
      <c r="I30" s="26">
        <v>1321</v>
      </c>
      <c r="J30" s="26">
        <v>1433.0462425120004</v>
      </c>
      <c r="K30" s="26">
        <v>1388</v>
      </c>
      <c r="L30" s="26">
        <v>1557</v>
      </c>
      <c r="M30" s="26">
        <v>1930</v>
      </c>
      <c r="N30" s="26">
        <v>2687</v>
      </c>
      <c r="O30" s="26">
        <v>2478.8686958093322</v>
      </c>
      <c r="P30" s="26">
        <v>2507.0648628215977</v>
      </c>
      <c r="Q30" s="26">
        <v>2721.2593501577103</v>
      </c>
      <c r="R30" s="26">
        <v>4262.7104935962743</v>
      </c>
      <c r="S30" s="26">
        <v>3671.6799602095471</v>
      </c>
      <c r="T30" s="26">
        <v>3460.3200397904529</v>
      </c>
      <c r="U30" s="26">
        <v>3970</v>
      </c>
      <c r="V30" s="26">
        <v>4552.0087110173936</v>
      </c>
      <c r="W30" s="26">
        <v>2998.6359506872841</v>
      </c>
      <c r="X30" s="26">
        <v>2361.3061760945038</v>
      </c>
      <c r="Y30" s="26">
        <v>2718.2341688323613</v>
      </c>
      <c r="Z30" s="26">
        <v>3516.7638324563177</v>
      </c>
      <c r="AA30" s="26">
        <v>1789.1234374209548</v>
      </c>
      <c r="AB30" s="26">
        <v>1703.2689831263688</v>
      </c>
      <c r="AC30" s="26">
        <v>1162</v>
      </c>
      <c r="AD30" s="26">
        <v>2439.6075794526769</v>
      </c>
      <c r="AE30" s="26">
        <v>962</v>
      </c>
      <c r="AF30" s="26">
        <v>158</v>
      </c>
      <c r="AG30" s="26">
        <v>1079</v>
      </c>
      <c r="AH30" s="26">
        <v>1071</v>
      </c>
      <c r="AI30" s="26">
        <v>932</v>
      </c>
      <c r="AJ30" s="26">
        <v>1019</v>
      </c>
      <c r="AK30" s="26">
        <v>1048</v>
      </c>
      <c r="AL30" s="26">
        <v>914</v>
      </c>
      <c r="AM30" s="26">
        <v>912</v>
      </c>
      <c r="AN30" s="26">
        <v>1088</v>
      </c>
      <c r="AO30" s="26">
        <v>1467.8525724984388</v>
      </c>
      <c r="AP30" s="26">
        <v>1146</v>
      </c>
      <c r="AQ30" s="26">
        <v>908</v>
      </c>
    </row>
    <row r="31" spans="2:43" x14ac:dyDescent="0.35">
      <c r="B31" s="9" t="s">
        <v>61</v>
      </c>
      <c r="G31" s="26">
        <v>419</v>
      </c>
      <c r="H31" s="26">
        <v>566</v>
      </c>
      <c r="I31" s="26">
        <v>472</v>
      </c>
      <c r="J31" s="26">
        <v>739</v>
      </c>
      <c r="K31" s="26">
        <v>632</v>
      </c>
      <c r="L31" s="26">
        <v>750</v>
      </c>
      <c r="M31" s="26">
        <v>673</v>
      </c>
      <c r="N31" s="26">
        <v>719</v>
      </c>
      <c r="O31" s="26">
        <v>865.99069579162801</v>
      </c>
      <c r="P31" s="26">
        <v>726.41091436241004</v>
      </c>
      <c r="Q31" s="26">
        <v>565.67807033876102</v>
      </c>
      <c r="R31" s="26">
        <v>842.07115992022909</v>
      </c>
      <c r="S31" s="26">
        <v>771.1440316440154</v>
      </c>
      <c r="T31" s="26">
        <v>1085.8559683559847</v>
      </c>
      <c r="U31" s="26">
        <v>933.99999999999989</v>
      </c>
      <c r="V31" s="26">
        <v>999.95158426665284</v>
      </c>
      <c r="W31" s="26">
        <v>897.87326768379876</v>
      </c>
      <c r="X31" s="26">
        <v>797.97067136809096</v>
      </c>
      <c r="Y31" s="26">
        <v>648.30397345940537</v>
      </c>
      <c r="Z31" s="26">
        <v>544.82269910255764</v>
      </c>
      <c r="AA31" s="26">
        <v>514.87352248755803</v>
      </c>
      <c r="AB31" s="26">
        <v>244.50013570684996</v>
      </c>
      <c r="AC31" s="26">
        <v>128</v>
      </c>
      <c r="AD31" s="26">
        <v>171.62634180559201</v>
      </c>
      <c r="AE31" s="26">
        <v>22</v>
      </c>
      <c r="AF31" s="26">
        <v>5</v>
      </c>
      <c r="AG31" s="26">
        <v>5</v>
      </c>
      <c r="AH31" s="26">
        <v>33</v>
      </c>
      <c r="AI31" s="26">
        <v>30</v>
      </c>
      <c r="AJ31" s="26">
        <v>41</v>
      </c>
      <c r="AK31" s="26">
        <v>67</v>
      </c>
      <c r="AL31" s="26">
        <v>30</v>
      </c>
      <c r="AM31" s="26">
        <v>7</v>
      </c>
      <c r="AN31" s="26">
        <v>55</v>
      </c>
      <c r="AO31" s="26">
        <v>31.858910800526687</v>
      </c>
      <c r="AP31" s="26">
        <v>23</v>
      </c>
      <c r="AQ31" s="26">
        <v>71</v>
      </c>
    </row>
    <row r="32" spans="2:43" x14ac:dyDescent="0.35">
      <c r="B32" s="11" t="s">
        <v>62</v>
      </c>
      <c r="G32" s="27">
        <v>94</v>
      </c>
      <c r="H32" s="27">
        <v>40</v>
      </c>
      <c r="I32" s="27">
        <v>129</v>
      </c>
      <c r="J32" s="27">
        <v>159</v>
      </c>
      <c r="K32" s="27">
        <v>106</v>
      </c>
      <c r="L32" s="27">
        <v>344</v>
      </c>
      <c r="M32" s="27">
        <v>283</v>
      </c>
      <c r="N32" s="27">
        <v>733</v>
      </c>
      <c r="O32" s="27">
        <v>106.08916843630074</v>
      </c>
      <c r="P32" s="27">
        <v>512.91083156369928</v>
      </c>
      <c r="Q32" s="17">
        <v>-506</v>
      </c>
      <c r="R32" s="27">
        <v>168.16708166965338</v>
      </c>
      <c r="S32" s="27">
        <v>816.09128095997949</v>
      </c>
      <c r="T32" s="27">
        <v>1372.3373808403881</v>
      </c>
      <c r="U32" s="27">
        <v>857.57133819963246</v>
      </c>
      <c r="V32" s="27">
        <v>469.93300718769115</v>
      </c>
      <c r="W32" s="27">
        <v>482.44567579235064</v>
      </c>
      <c r="X32" s="27">
        <v>335.05023999077338</v>
      </c>
      <c r="Y32" s="27">
        <v>108.85912819499526</v>
      </c>
      <c r="Z32" s="68">
        <v>339.13790039412976</v>
      </c>
      <c r="AA32" s="68">
        <v>737.95712247028746</v>
      </c>
      <c r="AB32" s="68">
        <v>-512.89155455515549</v>
      </c>
      <c r="AC32" s="68">
        <v>2551</v>
      </c>
      <c r="AD32" s="68">
        <v>-954.06556791513185</v>
      </c>
      <c r="AE32" s="68">
        <v>530</v>
      </c>
      <c r="AF32" s="68">
        <v>1370</v>
      </c>
      <c r="AG32" s="68">
        <v>282</v>
      </c>
      <c r="AH32" s="68">
        <v>-239</v>
      </c>
      <c r="AI32" s="68">
        <v>299</v>
      </c>
      <c r="AJ32" s="68">
        <v>249</v>
      </c>
      <c r="AK32" s="68">
        <v>305</v>
      </c>
      <c r="AL32" s="68">
        <v>227</v>
      </c>
      <c r="AM32" s="68">
        <v>231</v>
      </c>
      <c r="AN32" s="71">
        <v>404</v>
      </c>
      <c r="AO32" s="71">
        <v>217.04981981506864</v>
      </c>
      <c r="AP32" s="71">
        <v>225</v>
      </c>
      <c r="AQ32" s="71">
        <v>309</v>
      </c>
    </row>
    <row r="33" spans="2:43" x14ac:dyDescent="0.35">
      <c r="B33" s="13" t="s">
        <v>63</v>
      </c>
      <c r="G33" s="14">
        <f t="shared" ref="G33:M33" si="11">SUM(G27:G32)</f>
        <v>5877</v>
      </c>
      <c r="H33" s="14">
        <f t="shared" si="11"/>
        <v>7429</v>
      </c>
      <c r="I33" s="14">
        <f t="shared" si="11"/>
        <v>7028</v>
      </c>
      <c r="J33" s="14">
        <f t="shared" si="11"/>
        <v>8635.9102744552001</v>
      </c>
      <c r="K33" s="14">
        <f t="shared" si="11"/>
        <v>7142</v>
      </c>
      <c r="L33" s="14">
        <f t="shared" si="11"/>
        <v>7738</v>
      </c>
      <c r="M33" s="14">
        <f t="shared" si="11"/>
        <v>8925</v>
      </c>
      <c r="N33" s="14">
        <f t="shared" ref="N33:V33" si="12">SUM(N27:N32)</f>
        <v>10859</v>
      </c>
      <c r="O33" s="14">
        <f t="shared" si="12"/>
        <v>9229.3019746124573</v>
      </c>
      <c r="P33" s="14">
        <f t="shared" si="12"/>
        <v>10558.187311607084</v>
      </c>
      <c r="Q33" s="14">
        <f t="shared" si="12"/>
        <v>9802.1283784519637</v>
      </c>
      <c r="R33" s="14">
        <f t="shared" si="12"/>
        <v>12561.827356255588</v>
      </c>
      <c r="S33" s="14">
        <f t="shared" si="12"/>
        <v>13064.267316219104</v>
      </c>
      <c r="T33" s="14">
        <f t="shared" si="12"/>
        <v>15593.175098987665</v>
      </c>
      <c r="U33" s="14">
        <f t="shared" si="12"/>
        <v>14638.086150994905</v>
      </c>
      <c r="V33" s="14">
        <f t="shared" si="12"/>
        <v>15698.338761329105</v>
      </c>
      <c r="W33" s="69">
        <v>13858.335866174812</v>
      </c>
      <c r="X33" s="69">
        <v>13360.418694649268</v>
      </c>
      <c r="Y33" s="69">
        <v>13381.217736955707</v>
      </c>
      <c r="Z33" s="69">
        <v>13873.488596707819</v>
      </c>
      <c r="AA33" s="69">
        <v>11619.966073303794</v>
      </c>
      <c r="AB33" s="69">
        <v>9991.537601825461</v>
      </c>
      <c r="AC33" s="69">
        <v>6730</v>
      </c>
      <c r="AD33" s="69">
        <f>SUM(AD27:AD32)</f>
        <v>3599.4963248707459</v>
      </c>
      <c r="AE33" s="69">
        <f>SUM(AE27:AE32)</f>
        <v>2634</v>
      </c>
      <c r="AF33" s="69">
        <f>SUM(AF27:AF32)</f>
        <v>3422</v>
      </c>
      <c r="AG33" s="69">
        <v>3081</v>
      </c>
      <c r="AH33" s="69">
        <v>3394</v>
      </c>
      <c r="AI33" s="69">
        <v>3735</v>
      </c>
      <c r="AJ33" s="69">
        <v>4708</v>
      </c>
      <c r="AK33" s="69">
        <v>5974</v>
      </c>
      <c r="AL33" s="69">
        <v>5115</v>
      </c>
      <c r="AM33" s="69">
        <v>5179</v>
      </c>
      <c r="AN33" s="69">
        <v>6046</v>
      </c>
      <c r="AO33" s="69">
        <v>4817.1892695463785</v>
      </c>
      <c r="AP33" s="69">
        <v>4644</v>
      </c>
      <c r="AQ33" s="69">
        <v>2995</v>
      </c>
    </row>
    <row r="34" spans="2:43" x14ac:dyDescent="0.35">
      <c r="P34"/>
    </row>
    <row r="35" spans="2:43" x14ac:dyDescent="0.35">
      <c r="C35" s="28"/>
      <c r="D35" s="28"/>
      <c r="E35" s="28"/>
      <c r="F35" s="28"/>
      <c r="G35" s="28"/>
      <c r="H35" s="28"/>
      <c r="I35" s="28"/>
      <c r="J35" s="28"/>
      <c r="K35" s="28"/>
      <c r="L35" s="28"/>
      <c r="M35" s="88" t="s">
        <v>64</v>
      </c>
      <c r="N35" s="88"/>
      <c r="O35" s="88"/>
      <c r="P35" s="88"/>
      <c r="Q35" s="88"/>
      <c r="R35" s="88"/>
      <c r="S35" s="88"/>
      <c r="T35" s="88"/>
      <c r="U35" s="88"/>
      <c r="V35" s="88"/>
      <c r="W35" s="88"/>
      <c r="AG35" s="70"/>
      <c r="AH35" s="70"/>
      <c r="AI35" s="70"/>
      <c r="AJ35" s="70"/>
      <c r="AK35" s="70"/>
      <c r="AL35" s="70"/>
      <c r="AM35" s="70"/>
      <c r="AN35" s="70"/>
      <c r="AO35" s="70"/>
      <c r="AP35" s="70"/>
      <c r="AQ35" s="70"/>
    </row>
    <row r="36" spans="2:43" x14ac:dyDescent="0.35">
      <c r="M36" s="88"/>
      <c r="N36" s="88"/>
      <c r="O36" s="88"/>
      <c r="P36" s="88"/>
      <c r="Q36" s="88"/>
      <c r="R36" s="88"/>
      <c r="S36" s="88"/>
      <c r="T36" s="88"/>
      <c r="U36" s="88"/>
      <c r="V36" s="88"/>
      <c r="W36" s="88"/>
    </row>
  </sheetData>
  <mergeCells count="1">
    <mergeCell ref="M35:W36"/>
  </mergeCells>
  <pageMargins left="0.7" right="0.7" top="0.75" bottom="0.75" header="0.3" footer="0.3"/>
  <pageSetup paperSize="9" scale="6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AQ43"/>
  <sheetViews>
    <sheetView zoomScaleNormal="100" workbookViewId="0">
      <pane xSplit="2" ySplit="6" topLeftCell="AP35" activePane="bottomRight" state="frozen"/>
      <selection pane="topRight" activeCell="N21" sqref="N21"/>
      <selection pane="bottomLeft" activeCell="N21" sqref="N21"/>
      <selection pane="bottomRight" activeCell="AQ40" sqref="AQ40"/>
    </sheetView>
  </sheetViews>
  <sheetFormatPr defaultColWidth="9.08984375" defaultRowHeight="14.5" x14ac:dyDescent="0.35"/>
  <cols>
    <col min="1" max="1" width="3.08984375" style="1" customWidth="1"/>
    <col min="2" max="2" width="43.6328125" style="1" customWidth="1"/>
    <col min="3" max="43" width="10.90625" style="1" customWidth="1"/>
    <col min="44" max="16384" width="9.08984375" style="1"/>
  </cols>
  <sheetData>
    <row r="2" spans="2:43" ht="87" x14ac:dyDescent="0.35">
      <c r="B2" s="76" t="s">
        <v>129</v>
      </c>
      <c r="C2" s="74"/>
      <c r="D2" s="74"/>
      <c r="E2" s="74"/>
      <c r="F2" s="74"/>
      <c r="G2" s="74"/>
      <c r="H2" s="74"/>
      <c r="I2" s="74"/>
      <c r="J2" s="74"/>
      <c r="K2" s="74"/>
      <c r="L2" s="74"/>
      <c r="M2" s="74"/>
      <c r="N2" s="74"/>
      <c r="O2" s="74"/>
      <c r="P2" s="74"/>
      <c r="Q2" s="74"/>
      <c r="R2" s="74"/>
      <c r="S2" s="74"/>
      <c r="T2" s="74"/>
      <c r="U2" s="74"/>
      <c r="V2" s="74"/>
      <c r="W2" s="74"/>
      <c r="X2" s="74"/>
      <c r="Y2" s="75"/>
      <c r="Z2" s="65"/>
      <c r="AA2" s="65"/>
      <c r="AB2" s="65"/>
      <c r="AC2" s="65"/>
      <c r="AD2" s="65"/>
      <c r="AE2" s="65"/>
      <c r="AF2" s="65"/>
      <c r="AG2" s="65"/>
      <c r="AH2" s="65"/>
      <c r="AI2" s="65"/>
      <c r="AJ2" s="65"/>
      <c r="AK2" s="65"/>
      <c r="AL2" s="65"/>
      <c r="AM2" s="65"/>
      <c r="AN2" s="65"/>
      <c r="AO2" s="65"/>
      <c r="AP2" s="65"/>
      <c r="AQ2" s="65"/>
    </row>
    <row r="3" spans="2:43" x14ac:dyDescent="0.35">
      <c r="B3" s="29"/>
      <c r="C3" s="30"/>
      <c r="D3" s="30"/>
      <c r="E3" s="30"/>
      <c r="F3" s="30"/>
      <c r="G3" s="30"/>
      <c r="H3" s="30"/>
      <c r="I3" s="30"/>
      <c r="J3" s="30"/>
      <c r="K3" s="30"/>
      <c r="L3" s="30"/>
      <c r="M3" s="30"/>
      <c r="N3" s="30"/>
      <c r="O3" s="30"/>
    </row>
    <row r="4" spans="2:43" x14ac:dyDescent="0.35">
      <c r="B4" s="4" t="s">
        <v>0</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row>
    <row r="5" spans="2:43" x14ac:dyDescent="0.35">
      <c r="B5" s="32" t="s">
        <v>65</v>
      </c>
      <c r="C5" s="8" t="s">
        <v>2</v>
      </c>
      <c r="D5" s="8" t="s">
        <v>3</v>
      </c>
      <c r="E5" s="8" t="s">
        <v>4</v>
      </c>
      <c r="F5" s="8" t="s">
        <v>5</v>
      </c>
      <c r="G5" s="8" t="s">
        <v>6</v>
      </c>
      <c r="H5" s="8" t="s">
        <v>7</v>
      </c>
      <c r="I5" s="8" t="s">
        <v>8</v>
      </c>
      <c r="J5" s="8" t="s">
        <v>9</v>
      </c>
      <c r="K5" s="8" t="s">
        <v>10</v>
      </c>
      <c r="L5" s="8" t="s">
        <v>11</v>
      </c>
      <c r="M5" s="8" t="s">
        <v>12</v>
      </c>
      <c r="N5" s="8" t="s">
        <v>13</v>
      </c>
      <c r="O5" s="8" t="s">
        <v>14</v>
      </c>
      <c r="P5" s="8" t="s">
        <v>15</v>
      </c>
      <c r="Q5" s="8" t="s">
        <v>16</v>
      </c>
      <c r="R5" s="8" t="s">
        <v>17</v>
      </c>
      <c r="S5" s="8" t="s">
        <v>18</v>
      </c>
      <c r="T5" s="8" t="s">
        <v>19</v>
      </c>
      <c r="U5" s="8" t="s">
        <v>20</v>
      </c>
      <c r="V5" s="8" t="s">
        <v>21</v>
      </c>
      <c r="W5" s="8" t="s">
        <v>22</v>
      </c>
      <c r="X5" s="8" t="s">
        <v>23</v>
      </c>
      <c r="Y5" s="8" t="s">
        <v>24</v>
      </c>
      <c r="Z5" s="8" t="s">
        <v>25</v>
      </c>
      <c r="AA5" s="8" t="s">
        <v>26</v>
      </c>
      <c r="AB5" s="8" t="s">
        <v>27</v>
      </c>
      <c r="AC5" s="8" t="s">
        <v>28</v>
      </c>
      <c r="AD5" s="8" t="s">
        <v>29</v>
      </c>
      <c r="AE5" s="8" t="s">
        <v>30</v>
      </c>
      <c r="AF5" s="8" t="s">
        <v>31</v>
      </c>
      <c r="AG5" s="8" t="s">
        <v>32</v>
      </c>
      <c r="AH5" s="8" t="s">
        <v>33</v>
      </c>
      <c r="AI5" s="8" t="s">
        <v>34</v>
      </c>
      <c r="AJ5" s="8" t="s">
        <v>35</v>
      </c>
      <c r="AK5" s="8" t="s">
        <v>36</v>
      </c>
      <c r="AL5" s="8" t="s">
        <v>37</v>
      </c>
      <c r="AM5" s="8" t="s">
        <v>38</v>
      </c>
      <c r="AN5" s="8" t="s">
        <v>39</v>
      </c>
      <c r="AO5" s="8" t="s">
        <v>127</v>
      </c>
      <c r="AP5" s="8" t="s">
        <v>131</v>
      </c>
      <c r="AQ5" s="8" t="s">
        <v>132</v>
      </c>
    </row>
    <row r="6" spans="2:43" x14ac:dyDescent="0.35">
      <c r="B6" s="33"/>
    </row>
    <row r="7" spans="2:43" x14ac:dyDescent="0.35">
      <c r="B7" s="34" t="s">
        <v>66</v>
      </c>
    </row>
    <row r="8" spans="2:43" x14ac:dyDescent="0.35">
      <c r="B8" s="35" t="s">
        <v>67</v>
      </c>
      <c r="C8" s="36">
        <v>637.28750643299998</v>
      </c>
      <c r="D8" s="36">
        <v>1234.0812311300001</v>
      </c>
      <c r="E8" s="36">
        <v>1383.7096057200001</v>
      </c>
      <c r="F8" s="36">
        <v>3111.8133741120005</v>
      </c>
      <c r="G8" s="36">
        <v>4817.6149150000001</v>
      </c>
      <c r="H8" s="36">
        <v>5056.5428639999991</v>
      </c>
      <c r="I8" s="36">
        <v>4779.5315279999995</v>
      </c>
      <c r="J8" s="36">
        <v>4869.9418580999991</v>
      </c>
      <c r="K8" s="36">
        <v>4643.9473119840522</v>
      </c>
      <c r="L8" s="36">
        <v>5426</v>
      </c>
      <c r="M8" s="36">
        <v>8264</v>
      </c>
      <c r="N8" s="36">
        <v>7788</v>
      </c>
      <c r="O8" s="36">
        <v>9088.8523700000005</v>
      </c>
      <c r="P8" s="36">
        <v>9003.3842420000001</v>
      </c>
      <c r="Q8" s="36">
        <v>8474</v>
      </c>
      <c r="R8" s="36">
        <v>9154.5760797999992</v>
      </c>
      <c r="S8" s="36">
        <v>13379.355659999999</v>
      </c>
      <c r="T8" s="36">
        <v>17392.070360000002</v>
      </c>
      <c r="U8" s="36">
        <v>19835.691733159001</v>
      </c>
      <c r="V8" s="36">
        <v>20521.564873052001</v>
      </c>
      <c r="W8" s="36">
        <v>27295.028569918195</v>
      </c>
      <c r="X8" s="36">
        <v>26788.709126318499</v>
      </c>
      <c r="Y8" s="36">
        <v>28700.835990725314</v>
      </c>
      <c r="Z8" s="36">
        <v>22547.93107392162</v>
      </c>
      <c r="AA8" s="36">
        <v>23296.026482596622</v>
      </c>
      <c r="AB8" s="36">
        <v>22630.388187039993</v>
      </c>
      <c r="AC8" s="36">
        <v>22793</v>
      </c>
      <c r="AD8" s="36">
        <v>0</v>
      </c>
      <c r="AE8" s="36">
        <v>0</v>
      </c>
      <c r="AF8" s="36">
        <v>64</v>
      </c>
      <c r="AG8" s="36">
        <v>239</v>
      </c>
      <c r="AH8" s="36">
        <v>225</v>
      </c>
      <c r="AI8" s="36">
        <v>352</v>
      </c>
      <c r="AJ8" s="36">
        <v>1429</v>
      </c>
      <c r="AK8" s="36">
        <v>1817</v>
      </c>
      <c r="AL8" s="36">
        <v>2033</v>
      </c>
      <c r="AM8" s="36">
        <v>2224</v>
      </c>
      <c r="AN8" s="36">
        <v>2216</v>
      </c>
      <c r="AO8" s="36">
        <v>2347</v>
      </c>
      <c r="AP8" s="36">
        <v>2169</v>
      </c>
      <c r="AQ8" s="36">
        <v>2052</v>
      </c>
    </row>
    <row r="9" spans="2:43" x14ac:dyDescent="0.35">
      <c r="B9" s="35" t="s">
        <v>68</v>
      </c>
      <c r="C9" s="36">
        <v>0</v>
      </c>
      <c r="D9" s="36">
        <v>0</v>
      </c>
      <c r="E9" s="36">
        <v>0</v>
      </c>
      <c r="F9" s="36">
        <v>0</v>
      </c>
      <c r="G9" s="36">
        <v>0</v>
      </c>
      <c r="H9" s="36">
        <v>0</v>
      </c>
      <c r="I9" s="36">
        <v>0</v>
      </c>
      <c r="J9" s="36">
        <v>0</v>
      </c>
      <c r="K9" s="36">
        <v>0</v>
      </c>
      <c r="L9" s="36">
        <v>0</v>
      </c>
      <c r="M9" s="36">
        <v>0</v>
      </c>
      <c r="N9" s="36">
        <v>0</v>
      </c>
      <c r="O9" s="36">
        <v>0</v>
      </c>
      <c r="P9" s="36">
        <v>0</v>
      </c>
      <c r="Q9" s="36">
        <v>0</v>
      </c>
      <c r="R9" s="36">
        <v>12606.76694</v>
      </c>
      <c r="S9" s="36">
        <v>12338.53787</v>
      </c>
      <c r="T9" s="36">
        <v>12070.308800000001</v>
      </c>
      <c r="U9" s="36">
        <v>11802.079729999999</v>
      </c>
      <c r="V9" s="36">
        <v>11533.85066</v>
      </c>
      <c r="W9" s="36">
        <v>11265.621590000001</v>
      </c>
      <c r="X9" s="36">
        <v>10997.392519999999</v>
      </c>
      <c r="Y9" s="36">
        <v>10729.16345</v>
      </c>
      <c r="Z9" s="36">
        <v>10375.22682</v>
      </c>
      <c r="AA9" s="36">
        <v>12495.900780000002</v>
      </c>
      <c r="AB9" s="36">
        <v>12165.78701</v>
      </c>
      <c r="AC9" s="36">
        <v>11835</v>
      </c>
      <c r="AD9" s="36">
        <v>0</v>
      </c>
      <c r="AE9" s="36">
        <v>0</v>
      </c>
      <c r="AF9" s="36">
        <v>0</v>
      </c>
      <c r="AG9" s="36">
        <v>0</v>
      </c>
      <c r="AH9" s="36">
        <v>0</v>
      </c>
      <c r="AI9" s="36">
        <v>0</v>
      </c>
      <c r="AJ9" s="36">
        <v>0</v>
      </c>
      <c r="AK9" s="36">
        <v>0</v>
      </c>
      <c r="AL9" s="36">
        <v>0</v>
      </c>
      <c r="AM9" s="36">
        <v>0</v>
      </c>
      <c r="AN9" s="36">
        <v>0</v>
      </c>
      <c r="AO9" s="36">
        <v>0</v>
      </c>
      <c r="AP9" s="36">
        <v>0</v>
      </c>
      <c r="AQ9" s="36">
        <v>0</v>
      </c>
    </row>
    <row r="10" spans="2:43" x14ac:dyDescent="0.35">
      <c r="B10" s="33" t="s">
        <v>69</v>
      </c>
      <c r="C10" s="59">
        <v>0</v>
      </c>
      <c r="D10" s="59">
        <v>0</v>
      </c>
      <c r="E10" s="59">
        <v>0</v>
      </c>
      <c r="F10" s="59">
        <v>0</v>
      </c>
      <c r="G10" s="59">
        <v>3069.242733</v>
      </c>
      <c r="H10" s="59">
        <v>2914.2942010000006</v>
      </c>
      <c r="I10" s="59">
        <v>2711.4032571999996</v>
      </c>
      <c r="J10" s="59">
        <v>2319.2299563250003</v>
      </c>
      <c r="K10" s="59">
        <v>2123.3817027461309</v>
      </c>
      <c r="L10" s="59">
        <v>2583.5986957400683</v>
      </c>
      <c r="M10" s="59">
        <v>2657.8119666958105</v>
      </c>
      <c r="N10" s="59">
        <v>2602</v>
      </c>
      <c r="O10" s="59">
        <v>2594.0918200000001</v>
      </c>
      <c r="P10" s="59">
        <v>2907</v>
      </c>
      <c r="Q10" s="59">
        <v>3113</v>
      </c>
      <c r="R10" s="59">
        <v>3142.43444</v>
      </c>
      <c r="S10" s="59">
        <v>3210.63447</v>
      </c>
      <c r="T10" s="59">
        <v>3258.1774999999998</v>
      </c>
      <c r="U10" s="59">
        <v>3461.9085300000002</v>
      </c>
      <c r="V10" s="59">
        <v>2190.3009400000001</v>
      </c>
      <c r="W10" s="59">
        <v>2527.3554400000007</v>
      </c>
      <c r="X10" s="59">
        <v>2929.6009400000007</v>
      </c>
      <c r="Y10" s="59">
        <v>3223.7363700000005</v>
      </c>
      <c r="Z10" s="59">
        <v>2352.8359400000008</v>
      </c>
      <c r="AA10" s="59">
        <v>2489.0464400000001</v>
      </c>
      <c r="AB10" s="59">
        <v>2626.1788200000001</v>
      </c>
      <c r="AC10" s="59">
        <v>2410</v>
      </c>
      <c r="AD10" s="36">
        <v>0</v>
      </c>
      <c r="AE10" s="36">
        <v>0</v>
      </c>
      <c r="AF10" s="36">
        <v>0</v>
      </c>
      <c r="AG10" s="36">
        <v>0</v>
      </c>
      <c r="AH10" s="36">
        <v>0</v>
      </c>
      <c r="AI10" s="36">
        <v>0</v>
      </c>
      <c r="AJ10" s="36">
        <v>0</v>
      </c>
      <c r="AK10" s="36">
        <v>0</v>
      </c>
      <c r="AL10" s="36">
        <v>0</v>
      </c>
      <c r="AM10" s="36">
        <v>0</v>
      </c>
      <c r="AN10" s="36">
        <v>0</v>
      </c>
      <c r="AO10" s="36">
        <v>0</v>
      </c>
      <c r="AP10" s="36">
        <v>0</v>
      </c>
      <c r="AQ10" s="36">
        <v>0</v>
      </c>
    </row>
    <row r="11" spans="2:43" x14ac:dyDescent="0.35">
      <c r="B11" s="37" t="s">
        <v>70</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v>559</v>
      </c>
      <c r="AE11" s="38">
        <v>559</v>
      </c>
      <c r="AF11" s="38">
        <v>573</v>
      </c>
      <c r="AG11" s="38">
        <v>615</v>
      </c>
      <c r="AH11" s="38">
        <v>573.70000000000005</v>
      </c>
      <c r="AI11" s="38">
        <v>573.70000000000005</v>
      </c>
      <c r="AJ11" s="38">
        <v>573.70000000000005</v>
      </c>
      <c r="AK11" s="38">
        <v>573.70000000000005</v>
      </c>
      <c r="AL11" s="38">
        <v>573.70000000000005</v>
      </c>
      <c r="AM11" s="38">
        <v>573.70000000000005</v>
      </c>
      <c r="AN11" s="38">
        <v>573.70000000000005</v>
      </c>
      <c r="AO11" s="38">
        <v>573.70000000000005</v>
      </c>
      <c r="AP11" s="38">
        <v>573.70000000000005</v>
      </c>
      <c r="AQ11" s="38">
        <v>573.70000000000005</v>
      </c>
    </row>
    <row r="12" spans="2:43" x14ac:dyDescent="0.35">
      <c r="B12" s="39" t="s">
        <v>71</v>
      </c>
      <c r="C12" s="40">
        <f t="shared" ref="C12:U12" si="0">SUM(C8:C10)</f>
        <v>637.28750643299998</v>
      </c>
      <c r="D12" s="40">
        <f t="shared" si="0"/>
        <v>1234.0812311300001</v>
      </c>
      <c r="E12" s="40">
        <f t="shared" si="0"/>
        <v>1383.7096057200001</v>
      </c>
      <c r="F12" s="40">
        <f t="shared" si="0"/>
        <v>3111.8133741120005</v>
      </c>
      <c r="G12" s="40">
        <f t="shared" si="0"/>
        <v>7886.8576480000002</v>
      </c>
      <c r="H12" s="40">
        <f t="shared" si="0"/>
        <v>7970.8370649999997</v>
      </c>
      <c r="I12" s="40">
        <f t="shared" si="0"/>
        <v>7490.9347851999992</v>
      </c>
      <c r="J12" s="40">
        <f t="shared" si="0"/>
        <v>7189.171814424999</v>
      </c>
      <c r="K12" s="40">
        <f t="shared" si="0"/>
        <v>6767.3290147301832</v>
      </c>
      <c r="L12" s="40">
        <f t="shared" si="0"/>
        <v>8009.5986957400683</v>
      </c>
      <c r="M12" s="40">
        <f t="shared" si="0"/>
        <v>10921.81196669581</v>
      </c>
      <c r="N12" s="40">
        <f t="shared" si="0"/>
        <v>10390</v>
      </c>
      <c r="O12" s="40">
        <f t="shared" si="0"/>
        <v>11682.94419</v>
      </c>
      <c r="P12" s="40">
        <f t="shared" si="0"/>
        <v>11910.384242</v>
      </c>
      <c r="Q12" s="40">
        <f t="shared" si="0"/>
        <v>11587</v>
      </c>
      <c r="R12" s="40">
        <f t="shared" si="0"/>
        <v>24903.7774598</v>
      </c>
      <c r="S12" s="40">
        <f t="shared" si="0"/>
        <v>28928.528000000002</v>
      </c>
      <c r="T12" s="40">
        <f t="shared" si="0"/>
        <v>32720.556660000002</v>
      </c>
      <c r="U12" s="40">
        <f t="shared" si="0"/>
        <v>35099.679993158999</v>
      </c>
      <c r="V12" s="40">
        <v>34245.716473052002</v>
      </c>
      <c r="W12" s="40">
        <v>41088.005599918193</v>
      </c>
      <c r="X12" s="40">
        <v>40715.702586318504</v>
      </c>
      <c r="Y12" s="40">
        <v>42653.735810725309</v>
      </c>
      <c r="Z12" s="40">
        <v>35275.993833921617</v>
      </c>
      <c r="AA12" s="40">
        <v>38280.973702596624</v>
      </c>
      <c r="AB12" s="40">
        <v>37421.854017039994</v>
      </c>
      <c r="AC12" s="40">
        <v>37038</v>
      </c>
      <c r="AD12" s="40">
        <v>559</v>
      </c>
      <c r="AE12" s="40">
        <v>559</v>
      </c>
      <c r="AF12" s="40">
        <v>637</v>
      </c>
      <c r="AG12" s="40">
        <v>854</v>
      </c>
      <c r="AH12" s="40">
        <v>798.7</v>
      </c>
      <c r="AI12" s="40">
        <v>926</v>
      </c>
      <c r="AJ12" s="40">
        <v>2002.7</v>
      </c>
      <c r="AK12" s="40">
        <f t="shared" ref="AK12:AP12" si="1">SUM(AK8:AK11)</f>
        <v>2390.6999999999998</v>
      </c>
      <c r="AL12" s="40">
        <f t="shared" si="1"/>
        <v>2606.6999999999998</v>
      </c>
      <c r="AM12" s="40">
        <f t="shared" si="1"/>
        <v>2797.7</v>
      </c>
      <c r="AN12" s="40">
        <f t="shared" si="1"/>
        <v>2789.7</v>
      </c>
      <c r="AO12" s="40">
        <f t="shared" si="1"/>
        <v>2920.7</v>
      </c>
      <c r="AP12" s="40">
        <f t="shared" si="1"/>
        <v>2742.7</v>
      </c>
      <c r="AQ12" s="40">
        <f t="shared" ref="AQ12" si="2">SUM(AQ8:AQ11)</f>
        <v>2625.7</v>
      </c>
    </row>
    <row r="13" spans="2:43" x14ac:dyDescent="0.35">
      <c r="B13" s="33"/>
      <c r="C13" s="41"/>
      <c r="D13" s="41"/>
      <c r="E13" s="41"/>
      <c r="F13" s="41"/>
      <c r="G13" s="41"/>
      <c r="H13" s="41"/>
      <c r="I13" s="41"/>
      <c r="J13" s="41"/>
      <c r="K13" s="41"/>
      <c r="L13" s="41"/>
      <c r="M13" s="41"/>
      <c r="N13" s="41"/>
      <c r="O13" s="41"/>
    </row>
    <row r="14" spans="2:43" x14ac:dyDescent="0.35">
      <c r="B14" s="34" t="s">
        <v>72</v>
      </c>
      <c r="C14" s="41"/>
      <c r="D14" s="41"/>
      <c r="E14" s="41"/>
      <c r="F14" s="41"/>
      <c r="G14" s="41"/>
      <c r="H14" s="41"/>
      <c r="I14" s="41"/>
      <c r="J14" s="41"/>
      <c r="K14" s="41"/>
      <c r="L14" s="41"/>
      <c r="M14" s="41"/>
      <c r="N14" s="41"/>
      <c r="O14" s="41"/>
      <c r="V14" s="36"/>
      <c r="W14" s="36"/>
      <c r="X14" s="36"/>
      <c r="Y14" s="36"/>
      <c r="Z14" s="36"/>
      <c r="AA14" s="36"/>
      <c r="AB14" s="36"/>
      <c r="AC14" s="36"/>
      <c r="AD14" s="36"/>
      <c r="AE14" s="36"/>
      <c r="AF14" s="36"/>
      <c r="AG14" s="36"/>
      <c r="AH14" s="36"/>
      <c r="AI14" s="36"/>
      <c r="AJ14" s="36"/>
      <c r="AK14" s="36"/>
      <c r="AL14" s="36"/>
      <c r="AM14" s="36"/>
      <c r="AN14" s="36"/>
      <c r="AO14" s="36"/>
      <c r="AP14" s="36"/>
      <c r="AQ14" s="36"/>
    </row>
    <row r="15" spans="2:43" x14ac:dyDescent="0.35">
      <c r="B15" s="33" t="s">
        <v>73</v>
      </c>
      <c r="C15" s="36">
        <v>1448.4291344979999</v>
      </c>
      <c r="D15" s="36">
        <v>1465.8234401899999</v>
      </c>
      <c r="E15" s="36">
        <v>2058.9433776034316</v>
      </c>
      <c r="F15" s="36">
        <v>1318.376718691</v>
      </c>
      <c r="G15" s="36">
        <v>1901.2514887169998</v>
      </c>
      <c r="H15" s="36">
        <v>2090.4049875929995</v>
      </c>
      <c r="I15" s="36">
        <v>2566.4058725999994</v>
      </c>
      <c r="J15" s="36">
        <v>2564.9928717299995</v>
      </c>
      <c r="K15" s="36">
        <v>2472.4601649347919</v>
      </c>
      <c r="L15" s="36">
        <v>3071.0950028140551</v>
      </c>
      <c r="M15" s="36">
        <v>4002</v>
      </c>
      <c r="N15" s="36">
        <v>3118</v>
      </c>
      <c r="O15" s="36">
        <f>2458.4896+112.44475</f>
        <v>2570.93435</v>
      </c>
      <c r="P15" s="36">
        <v>2775.6033900000002</v>
      </c>
      <c r="Q15" s="36">
        <v>2750</v>
      </c>
      <c r="R15" s="36">
        <v>3939.6175541754801</v>
      </c>
      <c r="S15" s="36">
        <v>8463.509</v>
      </c>
      <c r="T15" s="36">
        <v>15742.791846740602</v>
      </c>
      <c r="U15" s="36">
        <v>17001.038351962197</v>
      </c>
      <c r="V15" s="36">
        <v>16244.5936091326</v>
      </c>
      <c r="W15" s="36">
        <v>12605.070975396098</v>
      </c>
      <c r="X15" s="36">
        <v>14781.169086518998</v>
      </c>
      <c r="Y15" s="36">
        <v>15769.252556681531</v>
      </c>
      <c r="Z15" s="36">
        <v>8861.5580370999069</v>
      </c>
      <c r="AA15" s="36">
        <v>9560.4457396984417</v>
      </c>
      <c r="AB15" s="36">
        <v>8793.9647824077801</v>
      </c>
      <c r="AC15" s="36">
        <v>8544</v>
      </c>
      <c r="AD15" s="36">
        <v>2806</v>
      </c>
      <c r="AE15" s="36">
        <v>2127</v>
      </c>
      <c r="AF15" s="36">
        <v>1596</v>
      </c>
      <c r="AG15" s="36">
        <v>1286</v>
      </c>
      <c r="AH15" s="36">
        <v>1140.152</v>
      </c>
      <c r="AI15" s="36">
        <v>1207</v>
      </c>
      <c r="AJ15" s="36">
        <v>1252</v>
      </c>
      <c r="AK15" s="36">
        <v>1416</v>
      </c>
      <c r="AL15" s="36">
        <v>1822</v>
      </c>
      <c r="AM15" s="36">
        <v>1299</v>
      </c>
      <c r="AN15" s="36">
        <v>927</v>
      </c>
      <c r="AO15" s="36">
        <v>1184</v>
      </c>
      <c r="AP15" s="36">
        <v>868</v>
      </c>
      <c r="AQ15" s="36">
        <v>1004</v>
      </c>
    </row>
    <row r="16" spans="2:43" x14ac:dyDescent="0.35">
      <c r="B16" s="33" t="s">
        <v>74</v>
      </c>
      <c r="C16" s="36">
        <v>0</v>
      </c>
      <c r="D16" s="36">
        <v>0</v>
      </c>
      <c r="E16" s="36">
        <v>0</v>
      </c>
      <c r="F16" s="36">
        <v>0</v>
      </c>
      <c r="G16" s="36">
        <v>223.59222046899998</v>
      </c>
      <c r="H16" s="36">
        <v>219.45958510399998</v>
      </c>
      <c r="I16" s="36">
        <v>243.74560702400001</v>
      </c>
      <c r="J16" s="36">
        <v>450.64116179999996</v>
      </c>
      <c r="K16" s="36">
        <v>507.37741739291664</v>
      </c>
      <c r="L16" s="36">
        <v>699</v>
      </c>
      <c r="M16" s="36">
        <v>827</v>
      </c>
      <c r="N16" s="36">
        <v>367</v>
      </c>
      <c r="O16" s="36">
        <v>409.52303000000001</v>
      </c>
      <c r="P16" s="36">
        <v>421.05133000000001</v>
      </c>
      <c r="Q16" s="36">
        <v>628</v>
      </c>
      <c r="R16" s="36">
        <v>1085.5955200000001</v>
      </c>
      <c r="S16" s="36">
        <v>743.09655999999995</v>
      </c>
      <c r="T16" s="36">
        <v>800.03009162800004</v>
      </c>
      <c r="U16" s="36">
        <v>1047.35653</v>
      </c>
      <c r="V16" s="36">
        <v>708.62290000000007</v>
      </c>
      <c r="W16" s="36">
        <v>724.93110999999988</v>
      </c>
      <c r="X16" s="36">
        <v>2698.1563499999997</v>
      </c>
      <c r="Y16" s="36">
        <v>3982.5204199999998</v>
      </c>
      <c r="Z16" s="36">
        <v>2640.0165600000005</v>
      </c>
      <c r="AA16" s="36">
        <v>2064.7313799999997</v>
      </c>
      <c r="AB16" s="36">
        <v>2028.8246899999995</v>
      </c>
      <c r="AC16" s="36">
        <v>1</v>
      </c>
      <c r="AD16" s="36">
        <v>1</v>
      </c>
      <c r="AE16" s="36">
        <v>1</v>
      </c>
      <c r="AF16" s="36">
        <v>1</v>
      </c>
      <c r="AG16" s="36">
        <v>0</v>
      </c>
      <c r="AH16" s="36">
        <v>0</v>
      </c>
      <c r="AI16" s="36">
        <v>0</v>
      </c>
      <c r="AJ16" s="36">
        <v>0</v>
      </c>
      <c r="AK16" s="36">
        <v>0</v>
      </c>
      <c r="AL16" s="36">
        <v>0</v>
      </c>
      <c r="AM16" s="36">
        <v>0</v>
      </c>
      <c r="AN16" s="36">
        <v>0</v>
      </c>
      <c r="AO16" s="36">
        <v>0</v>
      </c>
      <c r="AP16" s="36">
        <v>0</v>
      </c>
      <c r="AQ16" s="36">
        <v>0</v>
      </c>
    </row>
    <row r="17" spans="2:43" x14ac:dyDescent="0.35">
      <c r="B17" s="33" t="s">
        <v>75</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v>0</v>
      </c>
      <c r="AE17" s="36">
        <v>0</v>
      </c>
      <c r="AF17" s="36">
        <v>0</v>
      </c>
      <c r="AG17" s="36">
        <v>0</v>
      </c>
      <c r="AH17" s="36">
        <v>0</v>
      </c>
      <c r="AI17" s="36">
        <v>0</v>
      </c>
      <c r="AJ17" s="36">
        <v>0</v>
      </c>
      <c r="AK17" s="36">
        <v>0</v>
      </c>
      <c r="AL17" s="36">
        <v>0</v>
      </c>
      <c r="AM17" s="36">
        <v>0</v>
      </c>
      <c r="AN17" s="36">
        <v>0</v>
      </c>
      <c r="AO17" s="36">
        <v>0</v>
      </c>
      <c r="AP17" s="36">
        <v>0</v>
      </c>
      <c r="AQ17" s="36">
        <v>0</v>
      </c>
    </row>
    <row r="18" spans="2:43" x14ac:dyDescent="0.35">
      <c r="B18" s="37" t="s">
        <v>76</v>
      </c>
      <c r="C18" s="38">
        <v>3705.828423983</v>
      </c>
      <c r="D18" s="38">
        <v>5242.4274549333322</v>
      </c>
      <c r="E18" s="38">
        <v>2110.8030334149998</v>
      </c>
      <c r="F18" s="38">
        <v>43802.826664383989</v>
      </c>
      <c r="G18" s="38">
        <v>34814.453994204996</v>
      </c>
      <c r="H18" s="38">
        <v>26777.430124288996</v>
      </c>
      <c r="I18" s="38">
        <v>19914.989202612003</v>
      </c>
      <c r="J18" s="38">
        <v>30854.010476130996</v>
      </c>
      <c r="K18" s="38">
        <v>23541.885359871318</v>
      </c>
      <c r="L18" s="38">
        <v>36291.342150602482</v>
      </c>
      <c r="M18" s="38">
        <v>24622</v>
      </c>
      <c r="N18" s="38">
        <v>15940</v>
      </c>
      <c r="O18" s="38">
        <v>49122.194949999997</v>
      </c>
      <c r="P18" s="38">
        <v>36809.2657760945</v>
      </c>
      <c r="Q18" s="38">
        <v>27122</v>
      </c>
      <c r="R18" s="38">
        <v>74204.681942294294</v>
      </c>
      <c r="S18" s="38">
        <v>52597.447645071399</v>
      </c>
      <c r="T18" s="38">
        <v>28179.3427286564</v>
      </c>
      <c r="U18" s="38">
        <v>12855.5547870062</v>
      </c>
      <c r="V18" s="38">
        <v>98119.805522109076</v>
      </c>
      <c r="W18" s="38">
        <v>87592.738920403892</v>
      </c>
      <c r="X18" s="38">
        <v>66228.337245400005</v>
      </c>
      <c r="Y18" s="38">
        <v>48073.771205147888</v>
      </c>
      <c r="Z18" s="38">
        <v>32588.242468469947</v>
      </c>
      <c r="AA18" s="38">
        <v>20044.923906153603</v>
      </c>
      <c r="AB18" s="38">
        <v>8439.3637122237087</v>
      </c>
      <c r="AC18" s="38">
        <v>13020</v>
      </c>
      <c r="AD18" s="38">
        <v>8872</v>
      </c>
      <c r="AE18" s="38">
        <v>4565</v>
      </c>
      <c r="AF18" s="38">
        <v>3663</v>
      </c>
      <c r="AG18" s="38">
        <v>7047</v>
      </c>
      <c r="AH18" s="38">
        <v>5789.7</v>
      </c>
      <c r="AI18" s="38">
        <v>9418</v>
      </c>
      <c r="AJ18" s="38">
        <v>7053</v>
      </c>
      <c r="AK18" s="38">
        <v>13050</v>
      </c>
      <c r="AL18" s="38">
        <v>6853</v>
      </c>
      <c r="AM18" s="38">
        <v>11674</v>
      </c>
      <c r="AN18" s="38">
        <v>5859</v>
      </c>
      <c r="AO18" s="38">
        <v>4687</v>
      </c>
      <c r="AP18" s="38">
        <v>4969</v>
      </c>
      <c r="AQ18" s="38">
        <v>4783</v>
      </c>
    </row>
    <row r="19" spans="2:43" x14ac:dyDescent="0.35">
      <c r="B19" s="42" t="s">
        <v>77</v>
      </c>
      <c r="C19" s="43">
        <f>SUM(C15:C18)</f>
        <v>5154.2575584810002</v>
      </c>
      <c r="D19" s="43">
        <f t="shared" ref="D19:R19" si="3">SUM(D15:D18)</f>
        <v>6708.2508951233322</v>
      </c>
      <c r="E19" s="43">
        <f t="shared" si="3"/>
        <v>4169.7464110184319</v>
      </c>
      <c r="F19" s="43">
        <f t="shared" si="3"/>
        <v>45121.203383074986</v>
      </c>
      <c r="G19" s="43">
        <f t="shared" si="3"/>
        <v>36939.297703390999</v>
      </c>
      <c r="H19" s="43">
        <f t="shared" si="3"/>
        <v>29087.294696985995</v>
      </c>
      <c r="I19" s="43">
        <f t="shared" si="3"/>
        <v>22725.140682236004</v>
      </c>
      <c r="J19" s="43">
        <f t="shared" si="3"/>
        <v>33869.644509660997</v>
      </c>
      <c r="K19" s="43">
        <f t="shared" si="3"/>
        <v>26521.722942199027</v>
      </c>
      <c r="L19" s="43">
        <f t="shared" si="3"/>
        <v>40061.43715341654</v>
      </c>
      <c r="M19" s="43">
        <f t="shared" si="3"/>
        <v>29451</v>
      </c>
      <c r="N19" s="43">
        <f t="shared" si="3"/>
        <v>19425</v>
      </c>
      <c r="O19" s="43">
        <f t="shared" si="3"/>
        <v>52102.652329999997</v>
      </c>
      <c r="P19" s="43">
        <f t="shared" si="3"/>
        <v>40005.920496094499</v>
      </c>
      <c r="Q19" s="43">
        <f t="shared" si="3"/>
        <v>30500</v>
      </c>
      <c r="R19" s="43">
        <f t="shared" si="3"/>
        <v>79229.895016469774</v>
      </c>
      <c r="S19" s="43">
        <f>SUM(S15:S18)</f>
        <v>61804.053205071395</v>
      </c>
      <c r="T19" s="43">
        <f>SUM(T15:T18)</f>
        <v>44722.164667025005</v>
      </c>
      <c r="U19" s="43">
        <f>SUM(U15:U18)</f>
        <v>30903.949668968398</v>
      </c>
      <c r="V19" s="43">
        <f>SUM(V15:V18)</f>
        <v>115073.02203124168</v>
      </c>
      <c r="W19" s="43">
        <v>100922.7410058</v>
      </c>
      <c r="X19" s="43">
        <v>83707.662681918999</v>
      </c>
      <c r="Y19" s="43">
        <v>67825.54418182942</v>
      </c>
      <c r="Z19" s="43">
        <v>44089.817065569856</v>
      </c>
      <c r="AA19" s="43">
        <v>31670.101025852044</v>
      </c>
      <c r="AB19" s="43">
        <v>19262.15318463149</v>
      </c>
      <c r="AC19" s="43">
        <v>21565</v>
      </c>
      <c r="AD19" s="43">
        <v>11679</v>
      </c>
      <c r="AE19" s="43">
        <v>6693</v>
      </c>
      <c r="AF19" s="43">
        <v>5260</v>
      </c>
      <c r="AG19" s="43">
        <v>8333</v>
      </c>
      <c r="AH19" s="43">
        <v>6929.8519999999999</v>
      </c>
      <c r="AI19" s="43">
        <v>10625</v>
      </c>
      <c r="AJ19" s="43">
        <v>8305</v>
      </c>
      <c r="AK19" s="43">
        <v>14466</v>
      </c>
      <c r="AL19" s="43">
        <v>8675</v>
      </c>
      <c r="AM19" s="43">
        <v>12973</v>
      </c>
      <c r="AN19" s="43">
        <f>SUM(AN15:AN18)</f>
        <v>6786</v>
      </c>
      <c r="AO19" s="43">
        <f>SUM(AO15:AO18)</f>
        <v>5871</v>
      </c>
      <c r="AP19" s="43">
        <f>SUM(AP15:AP18)</f>
        <v>5837</v>
      </c>
      <c r="AQ19" s="43">
        <f>SUM(AQ15:AQ18)</f>
        <v>5787</v>
      </c>
    </row>
    <row r="20" spans="2:43" x14ac:dyDescent="0.35">
      <c r="B20" s="39"/>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row>
    <row r="21" spans="2:43" ht="15" thickBot="1" x14ac:dyDescent="0.4">
      <c r="B21" s="44" t="s">
        <v>78</v>
      </c>
      <c r="C21" s="45">
        <f>C19+C12</f>
        <v>5791.5450649140002</v>
      </c>
      <c r="D21" s="45">
        <f t="shared" ref="D21:V21" si="4">D19+D12</f>
        <v>7942.3321262533318</v>
      </c>
      <c r="E21" s="45">
        <f t="shared" si="4"/>
        <v>5553.4560167384316</v>
      </c>
      <c r="F21" s="45">
        <f t="shared" si="4"/>
        <v>48233.01675718699</v>
      </c>
      <c r="G21" s="45">
        <f t="shared" si="4"/>
        <v>44826.155351390997</v>
      </c>
      <c r="H21" s="45">
        <f t="shared" si="4"/>
        <v>37058.131761985991</v>
      </c>
      <c r="I21" s="45">
        <f t="shared" si="4"/>
        <v>30216.075467436003</v>
      </c>
      <c r="J21" s="45">
        <f t="shared" si="4"/>
        <v>41058.816324085994</v>
      </c>
      <c r="K21" s="45">
        <f t="shared" si="4"/>
        <v>33289.051956929208</v>
      </c>
      <c r="L21" s="45">
        <f t="shared" si="4"/>
        <v>48071.035849156608</v>
      </c>
      <c r="M21" s="45">
        <f t="shared" si="4"/>
        <v>40372.811966695808</v>
      </c>
      <c r="N21" s="45">
        <f t="shared" si="4"/>
        <v>29815</v>
      </c>
      <c r="O21" s="45">
        <f t="shared" si="4"/>
        <v>63785.596519999999</v>
      </c>
      <c r="P21" s="45">
        <f t="shared" si="4"/>
        <v>51916.304738094499</v>
      </c>
      <c r="Q21" s="45">
        <f t="shared" si="4"/>
        <v>42087</v>
      </c>
      <c r="R21" s="45">
        <f t="shared" si="4"/>
        <v>104133.67247626977</v>
      </c>
      <c r="S21" s="45">
        <f t="shared" si="4"/>
        <v>90732.581205071401</v>
      </c>
      <c r="T21" s="45">
        <f t="shared" si="4"/>
        <v>77442.721327025007</v>
      </c>
      <c r="U21" s="45">
        <f t="shared" si="4"/>
        <v>66003.629662127394</v>
      </c>
      <c r="V21" s="45">
        <f t="shared" si="4"/>
        <v>149318.73850429367</v>
      </c>
      <c r="W21" s="45">
        <v>142010.74660571819</v>
      </c>
      <c r="X21" s="45">
        <v>124423.36526823751</v>
      </c>
      <c r="Y21" s="45">
        <v>110479.27999255473</v>
      </c>
      <c r="Z21" s="45">
        <v>79365.81089949148</v>
      </c>
      <c r="AA21" s="45">
        <v>69951.074728448672</v>
      </c>
      <c r="AB21" s="45">
        <v>56684.007201671498</v>
      </c>
      <c r="AC21" s="45">
        <v>58603</v>
      </c>
      <c r="AD21" s="45">
        <v>12238</v>
      </c>
      <c r="AE21" s="45">
        <v>7252</v>
      </c>
      <c r="AF21" s="45">
        <v>5897</v>
      </c>
      <c r="AG21" s="45">
        <v>9187</v>
      </c>
      <c r="AH21" s="45">
        <v>7728.5519999999997</v>
      </c>
      <c r="AI21" s="45">
        <v>11551</v>
      </c>
      <c r="AJ21" s="45">
        <v>10308</v>
      </c>
      <c r="AK21" s="45">
        <v>16857</v>
      </c>
      <c r="AL21" s="45">
        <v>11281</v>
      </c>
      <c r="AM21" s="45">
        <v>15771</v>
      </c>
      <c r="AN21" s="45">
        <f>AN19+AN12</f>
        <v>9575.7000000000007</v>
      </c>
      <c r="AO21" s="45">
        <f>AO19+AO12</f>
        <v>8791.7000000000007</v>
      </c>
      <c r="AP21" s="45">
        <f>AP19+AP12</f>
        <v>8579.7000000000007</v>
      </c>
      <c r="AQ21" s="45">
        <f>AQ19+AQ12</f>
        <v>8412.7000000000007</v>
      </c>
    </row>
    <row r="22" spans="2:43" ht="15" thickTop="1" x14ac:dyDescent="0.35">
      <c r="B22" s="33"/>
      <c r="C22" s="41"/>
      <c r="D22" s="41"/>
      <c r="E22" s="41"/>
      <c r="F22" s="41"/>
      <c r="G22" s="41"/>
      <c r="H22" s="41"/>
      <c r="I22" s="41"/>
      <c r="J22" s="41"/>
      <c r="K22" s="41"/>
      <c r="L22" s="41"/>
      <c r="M22" s="41"/>
      <c r="N22" s="41"/>
      <c r="O22" s="41"/>
    </row>
    <row r="23" spans="2:43" x14ac:dyDescent="0.35">
      <c r="B23" s="46" t="s">
        <v>79</v>
      </c>
      <c r="C23" s="40"/>
      <c r="D23" s="40"/>
      <c r="E23" s="40"/>
      <c r="F23" s="40"/>
      <c r="G23" s="40"/>
      <c r="H23" s="40"/>
      <c r="I23" s="40"/>
      <c r="J23" s="40"/>
      <c r="K23" s="40"/>
      <c r="L23" s="40"/>
      <c r="M23" s="40"/>
      <c r="N23" s="40"/>
      <c r="O23" s="40"/>
    </row>
    <row r="24" spans="2:43" x14ac:dyDescent="0.35">
      <c r="B24" s="33" t="s">
        <v>80</v>
      </c>
      <c r="C24" s="36">
        <v>6990</v>
      </c>
      <c r="D24" s="36">
        <v>7223</v>
      </c>
      <c r="E24" s="36">
        <v>7243.2</v>
      </c>
      <c r="F24" s="36">
        <v>9173</v>
      </c>
      <c r="G24" s="36">
        <v>9268.4</v>
      </c>
      <c r="H24" s="36">
        <v>9270</v>
      </c>
      <c r="I24" s="36">
        <v>9279</v>
      </c>
      <c r="J24" s="36">
        <v>9898</v>
      </c>
      <c r="K24" s="36">
        <v>9980.2999999999993</v>
      </c>
      <c r="L24" s="36"/>
      <c r="M24" s="36">
        <v>10464</v>
      </c>
      <c r="N24" s="36">
        <v>10466</v>
      </c>
      <c r="O24" s="36">
        <v>12069</v>
      </c>
      <c r="P24" s="36">
        <v>12119</v>
      </c>
      <c r="Q24" s="36">
        <v>12125</v>
      </c>
      <c r="R24" s="36">
        <v>13876.627855591807</v>
      </c>
      <c r="S24" s="36">
        <v>13878.014094024818</v>
      </c>
      <c r="T24" s="36">
        <v>13904.633844024815</v>
      </c>
      <c r="U24" s="36">
        <v>13910.823814024816</v>
      </c>
      <c r="V24" s="36">
        <v>18659.869967024493</v>
      </c>
      <c r="W24" s="36">
        <v>18660.411871023884</v>
      </c>
      <c r="X24" s="36">
        <v>18659.611871023881</v>
      </c>
      <c r="Y24" s="36">
        <v>18659.611871023881</v>
      </c>
      <c r="Z24" s="36">
        <v>18659.611871023881</v>
      </c>
      <c r="AA24" s="36">
        <v>18660.41187102388</v>
      </c>
      <c r="AB24" s="36">
        <v>18660.41187102388</v>
      </c>
      <c r="AC24" s="36">
        <v>18660.41187102388</v>
      </c>
      <c r="AD24" s="36">
        <v>18660.41187102388</v>
      </c>
      <c r="AE24" s="36">
        <v>18660.41187102388</v>
      </c>
      <c r="AF24" s="36">
        <v>3576</v>
      </c>
      <c r="AG24" s="36">
        <v>8511</v>
      </c>
      <c r="AH24" s="36">
        <v>12013.8</v>
      </c>
      <c r="AI24" s="36">
        <v>13629</v>
      </c>
      <c r="AJ24" s="36">
        <v>15528</v>
      </c>
      <c r="AK24" s="36">
        <v>21729.920999999998</v>
      </c>
      <c r="AL24" s="36">
        <v>21729.920999999998</v>
      </c>
      <c r="AM24" s="36">
        <v>23799</v>
      </c>
      <c r="AN24" s="72">
        <v>23806</v>
      </c>
      <c r="AO24" s="72">
        <v>23845</v>
      </c>
      <c r="AP24" s="72">
        <v>24151</v>
      </c>
      <c r="AQ24" s="72">
        <v>11060</v>
      </c>
    </row>
    <row r="25" spans="2:43" x14ac:dyDescent="0.35">
      <c r="B25" s="33" t="s">
        <v>81</v>
      </c>
      <c r="C25" s="36">
        <v>22020</v>
      </c>
      <c r="D25" s="36">
        <v>25976</v>
      </c>
      <c r="E25" s="36">
        <v>26205</v>
      </c>
      <c r="F25" s="36">
        <v>72931.600000000006</v>
      </c>
      <c r="G25" s="36">
        <v>75029.5</v>
      </c>
      <c r="H25" s="36">
        <v>75503.399999999994</v>
      </c>
      <c r="I25" s="36">
        <v>76253</v>
      </c>
      <c r="J25" s="36">
        <v>97637</v>
      </c>
      <c r="K25" s="36">
        <v>98770.6</v>
      </c>
      <c r="L25" s="36">
        <v>119023</v>
      </c>
      <c r="M25" s="36">
        <v>119370</v>
      </c>
      <c r="N25" s="36">
        <v>119949</v>
      </c>
      <c r="O25" s="36">
        <v>159578</v>
      </c>
      <c r="P25" s="36">
        <v>160560</v>
      </c>
      <c r="Q25" s="36">
        <v>161007</v>
      </c>
      <c r="R25" s="36">
        <v>219097.13554003148</v>
      </c>
      <c r="S25" s="36">
        <v>219554.96194477068</v>
      </c>
      <c r="T25" s="36">
        <v>220521.50183477061</v>
      </c>
      <c r="U25" s="36">
        <v>221204.28110003143</v>
      </c>
      <c r="V25" s="36">
        <v>319817.36309044773</v>
      </c>
      <c r="W25" s="36">
        <v>320380.01430951885</v>
      </c>
      <c r="X25" s="36">
        <v>320539.7305936988</v>
      </c>
      <c r="Y25" s="36">
        <v>321090.30279369879</v>
      </c>
      <c r="Z25" s="36">
        <v>321574.61033369869</v>
      </c>
      <c r="AA25" s="36">
        <v>321845.99563369883</v>
      </c>
      <c r="AB25" s="36">
        <v>322174.51351382799</v>
      </c>
      <c r="AC25" s="36">
        <v>321691</v>
      </c>
      <c r="AD25" s="36">
        <v>0</v>
      </c>
      <c r="AE25" s="36">
        <v>0</v>
      </c>
      <c r="AF25" s="36">
        <f>147</f>
        <v>147</v>
      </c>
      <c r="AG25" s="36">
        <v>-5135</v>
      </c>
      <c r="AH25" s="36">
        <v>-47</v>
      </c>
      <c r="AI25" s="36">
        <v>11085</v>
      </c>
      <c r="AJ25" s="36">
        <v>19424</v>
      </c>
      <c r="AK25" s="36">
        <v>53317.529777893709</v>
      </c>
      <c r="AL25" s="36">
        <v>54617</v>
      </c>
      <c r="AM25" s="36">
        <f>32890+31969</f>
        <v>64859</v>
      </c>
      <c r="AN25" s="72">
        <v>65971</v>
      </c>
      <c r="AO25" s="72">
        <v>67273</v>
      </c>
      <c r="AP25" s="72">
        <f>41752+31969</f>
        <v>73721</v>
      </c>
      <c r="AQ25" s="72">
        <f>38269+31968</f>
        <v>70237</v>
      </c>
    </row>
    <row r="26" spans="2:43" x14ac:dyDescent="0.35">
      <c r="B26" s="33" t="s">
        <v>82</v>
      </c>
      <c r="C26" s="36">
        <v>-166</v>
      </c>
      <c r="D26" s="36">
        <v>-427</v>
      </c>
      <c r="E26" s="36">
        <v>-337</v>
      </c>
      <c r="F26" s="36">
        <v>-3208</v>
      </c>
      <c r="G26" s="36">
        <v>-2564.6</v>
      </c>
      <c r="H26" s="36">
        <v>-3606</v>
      </c>
      <c r="I26" s="36">
        <v>-5214</v>
      </c>
      <c r="J26" s="36">
        <v>-9599.4</v>
      </c>
      <c r="K26" s="36">
        <v>-12076.39</v>
      </c>
      <c r="L26" s="36">
        <v>-11825</v>
      </c>
      <c r="M26" s="36">
        <v>-14203</v>
      </c>
      <c r="N26" s="36">
        <v>-14761</v>
      </c>
      <c r="O26" s="36">
        <v>-13688</v>
      </c>
      <c r="P26" s="36">
        <v>-13748</v>
      </c>
      <c r="Q26" s="36">
        <v>-13821</v>
      </c>
      <c r="R26" s="36">
        <v>-13976.35174</v>
      </c>
      <c r="S26" s="36">
        <v>-13899.01158</v>
      </c>
      <c r="T26" s="36">
        <v>-13682.93320711518</v>
      </c>
      <c r="U26" s="36">
        <v>-13493.75174</v>
      </c>
      <c r="V26" s="36">
        <v>-13520.35274</v>
      </c>
      <c r="W26" s="36">
        <v>-13617.152400143001</v>
      </c>
      <c r="X26" s="36">
        <v>-13880.687837282003</v>
      </c>
      <c r="Y26" s="36">
        <v>-13775.046334458002</v>
      </c>
      <c r="Z26" s="36">
        <v>-13719.034597867001</v>
      </c>
      <c r="AA26" s="36">
        <v>-13919.97791928</v>
      </c>
      <c r="AB26" s="36">
        <v>-15958.012517882655</v>
      </c>
      <c r="AC26" s="36">
        <v>-15787</v>
      </c>
      <c r="AD26" s="36">
        <v>-14356</v>
      </c>
      <c r="AE26" s="36">
        <v>-14623</v>
      </c>
      <c r="AF26" s="36">
        <v>-14404</v>
      </c>
      <c r="AG26" s="36">
        <v>-15331</v>
      </c>
      <c r="AH26" s="36">
        <v>-13482</v>
      </c>
      <c r="AI26" s="36">
        <v>-13801</v>
      </c>
      <c r="AJ26" s="36">
        <v>-13801</v>
      </c>
      <c r="AK26" s="36">
        <v>-13800.944687800002</v>
      </c>
      <c r="AL26" s="36">
        <v>-13800.944687800002</v>
      </c>
      <c r="AM26" s="36">
        <v>-13800.944687800002</v>
      </c>
      <c r="AN26" s="72">
        <v>-13801</v>
      </c>
      <c r="AO26" s="72">
        <v>-13801</v>
      </c>
      <c r="AP26" s="72">
        <v>-13801</v>
      </c>
      <c r="AQ26" s="72">
        <v>-13801</v>
      </c>
    </row>
    <row r="27" spans="2:43" x14ac:dyDescent="0.35">
      <c r="B27" s="37" t="s">
        <v>83</v>
      </c>
      <c r="C27" s="38">
        <v>-24760.022867359447</v>
      </c>
      <c r="D27" s="38">
        <v>-27183.960361986999</v>
      </c>
      <c r="E27" s="38">
        <v>-31061.679168520139</v>
      </c>
      <c r="F27" s="38">
        <v>-36529.103892537198</v>
      </c>
      <c r="G27" s="38">
        <v>-41295.618864056196</v>
      </c>
      <c r="H27" s="38">
        <v>-47991.549817771906</v>
      </c>
      <c r="I27" s="38">
        <v>-53864</v>
      </c>
      <c r="J27" s="38">
        <v>-61625.612716182601</v>
      </c>
      <c r="K27" s="38">
        <v>-68353.91</v>
      </c>
      <c r="L27" s="38">
        <v>-75269</v>
      </c>
      <c r="M27" s="38">
        <v>-81658</v>
      </c>
      <c r="N27" s="38">
        <v>-91008</v>
      </c>
      <c r="O27" s="38">
        <v>-101244</v>
      </c>
      <c r="P27" s="38">
        <v>-111755</v>
      </c>
      <c r="Q27" s="38">
        <v>-121432</v>
      </c>
      <c r="R27" s="38">
        <v>-135503.30824279168</v>
      </c>
      <c r="S27" s="38">
        <v>-147564.42979623741</v>
      </c>
      <c r="T27" s="38">
        <v>-161382.15154282114</v>
      </c>
      <c r="U27" s="38">
        <v>-175143.45028232358</v>
      </c>
      <c r="V27" s="38">
        <v>-195082.96214810747</v>
      </c>
      <c r="W27" s="38">
        <v>-204735.62475222291</v>
      </c>
      <c r="X27" s="38">
        <v>-220338.372004937</v>
      </c>
      <c r="Y27" s="38">
        <v>-234640.5885207582</v>
      </c>
      <c r="Z27" s="38">
        <v>-266806.21924075391</v>
      </c>
      <c r="AA27" s="38">
        <v>-279058.75018958683</v>
      </c>
      <c r="AB27" s="38">
        <v>-289184.74558436801</v>
      </c>
      <c r="AC27" s="38">
        <v>-298078</v>
      </c>
      <c r="AD27" s="38">
        <v>-23964</v>
      </c>
      <c r="AE27" s="38">
        <v>-26723</v>
      </c>
      <c r="AF27" s="38">
        <v>-14321</v>
      </c>
      <c r="AG27" s="38">
        <v>-26642</v>
      </c>
      <c r="AH27" s="38">
        <v>-45351</v>
      </c>
      <c r="AI27" s="38">
        <v>-49792</v>
      </c>
      <c r="AJ27" s="38">
        <v>-65965</v>
      </c>
      <c r="AK27" s="38">
        <v>-70126.267185635661</v>
      </c>
      <c r="AL27" s="38">
        <v>-75995</v>
      </c>
      <c r="AM27" s="38">
        <v>-82436</v>
      </c>
      <c r="AN27" s="73">
        <v>-88130</v>
      </c>
      <c r="AO27" s="73">
        <v>-92528</v>
      </c>
      <c r="AP27" s="73">
        <v>-100654</v>
      </c>
      <c r="AQ27" s="73">
        <v>-82279</v>
      </c>
    </row>
    <row r="28" spans="2:43" x14ac:dyDescent="0.35">
      <c r="B28" s="39" t="s">
        <v>84</v>
      </c>
      <c r="C28" s="40">
        <f>SUM(C24:C27)</f>
        <v>4083.9771326405535</v>
      </c>
      <c r="D28" s="40">
        <f t="shared" ref="D28:M28" si="5">SUM(D24:D27)</f>
        <v>5588.0396380130005</v>
      </c>
      <c r="E28" s="40">
        <f t="shared" si="5"/>
        <v>2049.5208314798583</v>
      </c>
      <c r="F28" s="40">
        <f t="shared" si="5"/>
        <v>42367.496107462808</v>
      </c>
      <c r="G28" s="40">
        <f t="shared" si="5"/>
        <v>40437.681135943792</v>
      </c>
      <c r="H28" s="40">
        <f t="shared" si="5"/>
        <v>33175.850182228089</v>
      </c>
      <c r="I28" s="40">
        <f t="shared" si="5"/>
        <v>26454</v>
      </c>
      <c r="J28" s="40">
        <f t="shared" si="5"/>
        <v>36309.987283817405</v>
      </c>
      <c r="K28" s="40">
        <f t="shared" si="5"/>
        <v>28320.600000000006</v>
      </c>
      <c r="L28" s="40">
        <f t="shared" si="5"/>
        <v>31929</v>
      </c>
      <c r="M28" s="40">
        <f t="shared" si="5"/>
        <v>33973</v>
      </c>
      <c r="N28" s="40">
        <f>SUM(N24:N27)-1</f>
        <v>24645</v>
      </c>
      <c r="O28" s="40">
        <f>SUM(O24:O27)-2</f>
        <v>56713</v>
      </c>
      <c r="P28" s="40">
        <f>SUM(P24:P27)</f>
        <v>47176</v>
      </c>
      <c r="Q28" s="40">
        <f>SUM(Q24:Q27)-1</f>
        <v>37878</v>
      </c>
      <c r="R28" s="40">
        <f>SUM(R24:R27)+1</f>
        <v>83495.10341283158</v>
      </c>
      <c r="S28" s="40">
        <f>SUM(S24:S27)</f>
        <v>71969.534662558086</v>
      </c>
      <c r="T28" s="40">
        <f>SUM(T24:T27)</f>
        <v>59361.050928859098</v>
      </c>
      <c r="U28" s="40">
        <f>SUM(U24:U27)</f>
        <v>46477.902891732665</v>
      </c>
      <c r="V28" s="40">
        <f>SUM(V24:V27)</f>
        <v>129873.91816936474</v>
      </c>
      <c r="W28" s="40">
        <v>120687.64902817685</v>
      </c>
      <c r="X28" s="40">
        <v>104981.28262250367</v>
      </c>
      <c r="Y28" s="40">
        <v>91334.279809506494</v>
      </c>
      <c r="Z28" s="40">
        <v>59708.968366101675</v>
      </c>
      <c r="AA28" s="40">
        <v>47527.67939585587</v>
      </c>
      <c r="AB28" s="40">
        <v>35691.826061473097</v>
      </c>
      <c r="AC28" s="40">
        <v>26486</v>
      </c>
      <c r="AD28" s="40">
        <v>-19660</v>
      </c>
      <c r="AE28" s="40">
        <v>-22686</v>
      </c>
      <c r="AF28" s="40">
        <v>-25002</v>
      </c>
      <c r="AG28" s="40">
        <f>SUM(AG24:AG27)</f>
        <v>-38597</v>
      </c>
      <c r="AH28" s="40">
        <v>-46866.2</v>
      </c>
      <c r="AI28" s="40">
        <v>-38879</v>
      </c>
      <c r="AJ28" s="40">
        <v>-44814</v>
      </c>
      <c r="AK28" s="40">
        <v>-8879.7610955419514</v>
      </c>
      <c r="AL28" s="40">
        <v>-13449</v>
      </c>
      <c r="AM28" s="40">
        <v>-7579</v>
      </c>
      <c r="AN28" s="40">
        <f>SUM(AN24:AN27)</f>
        <v>-12154</v>
      </c>
      <c r="AO28" s="40">
        <f>SUM(AO24:AO27)</f>
        <v>-15211</v>
      </c>
      <c r="AP28" s="40">
        <f>SUM(AP24:AP27)</f>
        <v>-16583</v>
      </c>
      <c r="AQ28" s="40">
        <f>SUM(AQ24:AQ27)</f>
        <v>-14783</v>
      </c>
    </row>
    <row r="29" spans="2:43" x14ac:dyDescent="0.35">
      <c r="B29" s="39"/>
      <c r="C29" s="40"/>
      <c r="D29" s="40"/>
      <c r="E29" s="40"/>
      <c r="F29" s="40"/>
      <c r="G29" s="40"/>
      <c r="H29" s="40"/>
      <c r="I29" s="40"/>
      <c r="J29" s="40"/>
      <c r="K29" s="40"/>
      <c r="L29" s="40"/>
      <c r="M29" s="40"/>
      <c r="N29" s="40"/>
      <c r="O29" s="40"/>
      <c r="P29" s="40"/>
      <c r="Q29" s="40"/>
      <c r="R29" s="40"/>
    </row>
    <row r="30" spans="2:43" x14ac:dyDescent="0.35">
      <c r="B30" s="39" t="s">
        <v>85</v>
      </c>
      <c r="C30" s="40"/>
      <c r="D30" s="40"/>
      <c r="E30" s="40"/>
      <c r="F30" s="40"/>
      <c r="G30" s="40"/>
      <c r="H30" s="40"/>
      <c r="I30" s="40"/>
      <c r="J30" s="40"/>
      <c r="K30" s="40"/>
      <c r="L30" s="40"/>
      <c r="M30" s="40"/>
      <c r="N30" s="40"/>
      <c r="O30" s="40"/>
      <c r="P30" s="40"/>
      <c r="Q30" s="40"/>
      <c r="R30" s="40"/>
    </row>
    <row r="31" spans="2:43" x14ac:dyDescent="0.35">
      <c r="B31" s="34" t="s">
        <v>86</v>
      </c>
      <c r="C31" s="41"/>
      <c r="D31" s="41"/>
      <c r="E31" s="41"/>
      <c r="F31" s="41"/>
      <c r="G31" s="41"/>
      <c r="H31" s="41"/>
      <c r="I31" s="41"/>
      <c r="J31" s="41"/>
      <c r="K31" s="41"/>
      <c r="L31" s="41"/>
      <c r="M31" s="41"/>
      <c r="N31" s="41"/>
      <c r="O31" s="41"/>
      <c r="Z31" s="36"/>
      <c r="AA31" s="36"/>
      <c r="AB31" s="36"/>
      <c r="AC31" s="36"/>
      <c r="AD31" s="36"/>
      <c r="AE31" s="36"/>
      <c r="AF31" s="36"/>
      <c r="AG31" s="36"/>
      <c r="AH31" s="36"/>
      <c r="AI31" s="36"/>
      <c r="AJ31" s="36"/>
      <c r="AK31" s="36"/>
      <c r="AL31" s="36"/>
      <c r="AM31" s="36"/>
      <c r="AN31" s="36"/>
      <c r="AO31" s="36"/>
      <c r="AP31" s="36"/>
      <c r="AQ31" s="36"/>
    </row>
    <row r="32" spans="2:43" x14ac:dyDescent="0.35">
      <c r="B32" s="33" t="s">
        <v>87</v>
      </c>
      <c r="C32" s="41">
        <v>0</v>
      </c>
      <c r="D32" s="41">
        <v>0</v>
      </c>
      <c r="E32" s="41">
        <v>0</v>
      </c>
      <c r="F32" s="41">
        <v>0</v>
      </c>
      <c r="G32" s="41">
        <v>0</v>
      </c>
      <c r="H32" s="41">
        <v>0</v>
      </c>
      <c r="I32" s="41">
        <v>0</v>
      </c>
      <c r="J32" s="41">
        <v>0</v>
      </c>
      <c r="K32" s="41">
        <v>0</v>
      </c>
      <c r="L32" s="41">
        <v>0</v>
      </c>
      <c r="M32" s="41">
        <v>0</v>
      </c>
      <c r="N32" s="41">
        <v>0</v>
      </c>
      <c r="O32" s="41">
        <v>0</v>
      </c>
      <c r="P32" s="41">
        <v>0</v>
      </c>
      <c r="Q32" s="41">
        <v>0</v>
      </c>
      <c r="R32" s="36">
        <v>269.3306</v>
      </c>
      <c r="S32" s="36">
        <v>269.33109000000002</v>
      </c>
      <c r="T32" s="36">
        <v>269.33109000000002</v>
      </c>
      <c r="U32" s="36">
        <v>269.33109000000002</v>
      </c>
      <c r="V32" s="36">
        <v>0</v>
      </c>
      <c r="W32" s="36">
        <v>0</v>
      </c>
      <c r="X32" s="36">
        <v>0</v>
      </c>
      <c r="Y32" s="36">
        <v>0</v>
      </c>
      <c r="Z32" s="36">
        <v>0</v>
      </c>
      <c r="AA32" s="36"/>
      <c r="AB32" s="36"/>
      <c r="AC32" s="36"/>
      <c r="AD32" s="36"/>
      <c r="AE32" s="36"/>
      <c r="AF32" s="36"/>
      <c r="AG32" s="36"/>
      <c r="AH32" s="36"/>
      <c r="AI32" s="36"/>
      <c r="AJ32" s="36"/>
      <c r="AK32" s="36"/>
      <c r="AL32" s="36"/>
      <c r="AM32" s="36"/>
      <c r="AN32" s="36"/>
      <c r="AO32" s="36"/>
      <c r="AP32" s="36"/>
      <c r="AQ32" s="36"/>
    </row>
    <row r="33" spans="2:43" x14ac:dyDescent="0.35">
      <c r="B33" s="33" t="s">
        <v>88</v>
      </c>
      <c r="C33" s="41"/>
      <c r="D33" s="41"/>
      <c r="E33" s="41"/>
      <c r="F33" s="41"/>
      <c r="G33" s="41"/>
      <c r="H33" s="41"/>
      <c r="I33" s="41"/>
      <c r="J33" s="41"/>
      <c r="K33" s="41"/>
      <c r="L33" s="41"/>
      <c r="M33" s="41"/>
      <c r="N33" s="41"/>
      <c r="O33" s="41"/>
      <c r="P33" s="41"/>
      <c r="Q33" s="41"/>
      <c r="R33" s="36"/>
      <c r="S33" s="36"/>
      <c r="T33" s="36"/>
      <c r="U33" s="36"/>
      <c r="V33" s="36"/>
      <c r="W33" s="36"/>
      <c r="X33" s="36"/>
      <c r="Y33" s="36"/>
      <c r="Z33" s="36"/>
      <c r="AA33" s="36"/>
      <c r="AB33" s="36"/>
      <c r="AC33" s="36">
        <v>12518</v>
      </c>
      <c r="AD33" s="36">
        <v>11812</v>
      </c>
      <c r="AE33" s="36">
        <v>11081</v>
      </c>
      <c r="AF33" s="36">
        <v>11402</v>
      </c>
      <c r="AG33" s="36">
        <v>10574</v>
      </c>
      <c r="AH33" s="36">
        <v>9709</v>
      </c>
      <c r="AI33" s="36">
        <v>8807</v>
      </c>
      <c r="AJ33" s="36">
        <v>7865</v>
      </c>
      <c r="AK33" s="36">
        <v>6881.1966400000001</v>
      </c>
      <c r="AL33" s="36">
        <v>5854</v>
      </c>
      <c r="AM33" s="36">
        <v>4782</v>
      </c>
      <c r="AN33" s="36">
        <v>3663</v>
      </c>
      <c r="AO33" s="36">
        <v>2495</v>
      </c>
      <c r="AP33" s="36">
        <v>6750</v>
      </c>
      <c r="AQ33" s="36">
        <v>6402</v>
      </c>
    </row>
    <row r="34" spans="2:43" x14ac:dyDescent="0.35">
      <c r="B34" s="33" t="s">
        <v>89</v>
      </c>
      <c r="C34" s="41">
        <v>0</v>
      </c>
      <c r="D34" s="41">
        <v>0</v>
      </c>
      <c r="E34" s="41">
        <v>0</v>
      </c>
      <c r="F34" s="41">
        <v>0</v>
      </c>
      <c r="G34" s="41">
        <v>0</v>
      </c>
      <c r="H34" s="41">
        <v>0</v>
      </c>
      <c r="I34" s="41">
        <v>0</v>
      </c>
      <c r="J34" s="41">
        <v>0</v>
      </c>
      <c r="K34" s="41">
        <v>0</v>
      </c>
      <c r="L34" s="41">
        <v>0</v>
      </c>
      <c r="M34" s="41">
        <v>0</v>
      </c>
      <c r="N34" s="41">
        <v>0</v>
      </c>
      <c r="O34" s="41">
        <v>0</v>
      </c>
      <c r="P34" s="41">
        <v>0</v>
      </c>
      <c r="Q34" s="41">
        <v>0</v>
      </c>
      <c r="R34" s="36">
        <v>12581.014999999999</v>
      </c>
      <c r="S34" s="36">
        <v>12536.19887</v>
      </c>
      <c r="T34" s="36">
        <v>12393.006009999999</v>
      </c>
      <c r="U34" s="36">
        <v>12260.361440000001</v>
      </c>
      <c r="V34" s="36">
        <v>12124.96715</v>
      </c>
      <c r="W34" s="36">
        <v>11986.76972</v>
      </c>
      <c r="X34" s="36">
        <v>11817.661540000001</v>
      </c>
      <c r="Y34" s="36">
        <v>11645.095360000001</v>
      </c>
      <c r="Z34" s="36">
        <v>11524.78224</v>
      </c>
      <c r="AA34" s="36">
        <v>13977.630519999999</v>
      </c>
      <c r="AB34" s="36">
        <v>13798.84981326348</v>
      </c>
      <c r="AC34" s="36">
        <v>13493</v>
      </c>
      <c r="AD34" s="36">
        <v>13244</v>
      </c>
      <c r="AE34" s="36">
        <v>12994</v>
      </c>
      <c r="AF34" s="36">
        <v>12737</v>
      </c>
      <c r="AG34" s="36">
        <v>12477</v>
      </c>
      <c r="AH34" s="36">
        <v>12175</v>
      </c>
      <c r="AI34" s="36">
        <v>11868</v>
      </c>
      <c r="AJ34" s="36">
        <v>11555</v>
      </c>
      <c r="AK34" s="36">
        <v>11236.362090000001</v>
      </c>
      <c r="AL34" s="36">
        <v>10897</v>
      </c>
      <c r="AM34" s="36">
        <v>10551</v>
      </c>
      <c r="AN34" s="36">
        <v>10199</v>
      </c>
      <c r="AO34" s="36">
        <v>9840</v>
      </c>
      <c r="AP34" s="36">
        <v>9459</v>
      </c>
      <c r="AQ34" s="36">
        <v>9071</v>
      </c>
    </row>
    <row r="35" spans="2:43" x14ac:dyDescent="0.35">
      <c r="B35" s="47" t="s">
        <v>90</v>
      </c>
      <c r="C35" s="48">
        <f>SUM(C32:C34)</f>
        <v>0</v>
      </c>
      <c r="D35" s="48">
        <f t="shared" ref="D35:Q35" si="6">SUM(D32:D34)</f>
        <v>0</v>
      </c>
      <c r="E35" s="48">
        <f t="shared" si="6"/>
        <v>0</v>
      </c>
      <c r="F35" s="48">
        <f t="shared" si="6"/>
        <v>0</v>
      </c>
      <c r="G35" s="48">
        <f t="shared" si="6"/>
        <v>0</v>
      </c>
      <c r="H35" s="48">
        <f t="shared" si="6"/>
        <v>0</v>
      </c>
      <c r="I35" s="48">
        <f t="shared" si="6"/>
        <v>0</v>
      </c>
      <c r="J35" s="48">
        <f t="shared" si="6"/>
        <v>0</v>
      </c>
      <c r="K35" s="48">
        <f t="shared" si="6"/>
        <v>0</v>
      </c>
      <c r="L35" s="48">
        <f t="shared" si="6"/>
        <v>0</v>
      </c>
      <c r="M35" s="48">
        <f t="shared" si="6"/>
        <v>0</v>
      </c>
      <c r="N35" s="48">
        <f t="shared" si="6"/>
        <v>0</v>
      </c>
      <c r="O35" s="48">
        <f t="shared" si="6"/>
        <v>0</v>
      </c>
      <c r="P35" s="48">
        <f t="shared" si="6"/>
        <v>0</v>
      </c>
      <c r="Q35" s="48">
        <f t="shared" si="6"/>
        <v>0</v>
      </c>
      <c r="R35" s="48">
        <f>SUM(R32:R34)</f>
        <v>12850.345599999999</v>
      </c>
      <c r="S35" s="48">
        <f>SUM(S32:S34)</f>
        <v>12805.52996</v>
      </c>
      <c r="T35" s="48">
        <f>SUM(T32:T34)</f>
        <v>12662.337099999999</v>
      </c>
      <c r="U35" s="48">
        <f>SUM(U32:U34)</f>
        <v>12529.69253</v>
      </c>
      <c r="V35" s="48">
        <f>SUM(V32:V34)</f>
        <v>12124.96715</v>
      </c>
      <c r="W35" s="48">
        <v>11986.76972</v>
      </c>
      <c r="X35" s="48">
        <v>11817.661540000001</v>
      </c>
      <c r="Y35" s="48">
        <v>11645.095360000001</v>
      </c>
      <c r="Z35" s="48">
        <v>11524.78224</v>
      </c>
      <c r="AA35" s="48">
        <v>13977.630519999999</v>
      </c>
      <c r="AB35" s="48">
        <v>13798.84981326348</v>
      </c>
      <c r="AC35" s="48">
        <v>26011</v>
      </c>
      <c r="AD35" s="48">
        <v>25056</v>
      </c>
      <c r="AE35" s="48">
        <v>24075</v>
      </c>
      <c r="AF35" s="48">
        <v>24139</v>
      </c>
      <c r="AG35" s="48">
        <v>23051</v>
      </c>
      <c r="AH35" s="48">
        <v>21884</v>
      </c>
      <c r="AI35" s="48">
        <v>20675</v>
      </c>
      <c r="AJ35" s="48">
        <v>19420</v>
      </c>
      <c r="AK35" s="48">
        <v>18117.558730000001</v>
      </c>
      <c r="AL35" s="48">
        <v>16751</v>
      </c>
      <c r="AM35" s="48">
        <v>15333</v>
      </c>
      <c r="AN35" s="48">
        <f>AN34+AN33</f>
        <v>13862</v>
      </c>
      <c r="AO35" s="48">
        <f>AO34+AO33</f>
        <v>12335</v>
      </c>
      <c r="AP35" s="48">
        <f>AP34+AP33</f>
        <v>16209</v>
      </c>
      <c r="AQ35" s="48">
        <f>AQ34+AQ33</f>
        <v>15473</v>
      </c>
    </row>
    <row r="36" spans="2:43" x14ac:dyDescent="0.35">
      <c r="B36" s="34" t="s">
        <v>91</v>
      </c>
      <c r="C36" s="41"/>
      <c r="D36" s="41"/>
      <c r="E36" s="41"/>
      <c r="F36" s="41"/>
      <c r="G36" s="41"/>
      <c r="H36" s="41"/>
      <c r="I36" s="41"/>
      <c r="J36" s="41"/>
      <c r="K36" s="41"/>
      <c r="L36" s="41"/>
      <c r="M36" s="41"/>
      <c r="N36" s="41"/>
      <c r="O36" s="41"/>
    </row>
    <row r="37" spans="2:43" x14ac:dyDescent="0.35">
      <c r="B37" s="33" t="s">
        <v>92</v>
      </c>
      <c r="C37" s="59">
        <v>1707.542169028</v>
      </c>
      <c r="D37" s="59">
        <v>2354.2621073033301</v>
      </c>
      <c r="E37" s="59">
        <v>3503.9348380199995</v>
      </c>
      <c r="F37" s="59">
        <v>5865.5179017539995</v>
      </c>
      <c r="G37" s="59">
        <v>4388.5200800169996</v>
      </c>
      <c r="H37" s="59">
        <v>3881.9252978529998</v>
      </c>
      <c r="I37" s="59">
        <v>3762.0017203520001</v>
      </c>
      <c r="J37" s="59">
        <v>4748.4594604249996</v>
      </c>
      <c r="K37" s="59">
        <v>4968.5</v>
      </c>
      <c r="L37" s="59">
        <v>5677.626293163531</v>
      </c>
      <c r="M37" s="59">
        <v>6400.2415830172031</v>
      </c>
      <c r="N37" s="59">
        <v>5170</v>
      </c>
      <c r="O37" s="59">
        <v>7072</v>
      </c>
      <c r="P37" s="59">
        <v>4739.9445656661101</v>
      </c>
      <c r="Q37" s="59">
        <v>4209</v>
      </c>
      <c r="R37" s="59">
        <v>7788.8209999999999</v>
      </c>
      <c r="S37" s="59">
        <v>5957.79252</v>
      </c>
      <c r="T37" s="59">
        <v>5419.3324634370001</v>
      </c>
      <c r="U37" s="59">
        <v>6996.1459118377998</v>
      </c>
      <c r="V37" s="59">
        <v>7319.8529084370675</v>
      </c>
      <c r="W37" s="59">
        <v>9336.8055253255989</v>
      </c>
      <c r="X37" s="59">
        <v>7623.7883157345186</v>
      </c>
      <c r="Y37" s="59">
        <v>7499.9047986104788</v>
      </c>
      <c r="Z37" s="59">
        <v>8132.3107754777739</v>
      </c>
      <c r="AA37" s="59">
        <v>8445.8946533575945</v>
      </c>
      <c r="AB37" s="59">
        <v>7193.3313269349501</v>
      </c>
      <c r="AC37" s="59">
        <v>6106</v>
      </c>
      <c r="AD37" s="59">
        <v>5454</v>
      </c>
      <c r="AE37" s="59">
        <v>3744</v>
      </c>
      <c r="AF37" s="59">
        <v>3967</v>
      </c>
      <c r="AG37" s="59">
        <v>3431</v>
      </c>
      <c r="AH37" s="59">
        <v>3446</v>
      </c>
      <c r="AI37" s="59">
        <v>3490</v>
      </c>
      <c r="AJ37" s="59">
        <v>3961</v>
      </c>
      <c r="AK37" s="59">
        <v>3926.8501437394634</v>
      </c>
      <c r="AL37" s="59">
        <v>4124</v>
      </c>
      <c r="AM37" s="59">
        <v>3559</v>
      </c>
      <c r="AN37" s="59">
        <v>3657</v>
      </c>
      <c r="AO37" s="59">
        <v>7280</v>
      </c>
      <c r="AP37" s="59">
        <v>2768</v>
      </c>
      <c r="AQ37" s="59">
        <v>1321</v>
      </c>
    </row>
    <row r="38" spans="2:43" x14ac:dyDescent="0.35">
      <c r="B38" s="33" t="s">
        <v>93</v>
      </c>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v>995</v>
      </c>
      <c r="AG38" s="59">
        <v>18676</v>
      </c>
      <c r="AH38" s="59">
        <v>26020</v>
      </c>
      <c r="AI38" s="59">
        <v>22119</v>
      </c>
      <c r="AJ38" s="59">
        <v>26652</v>
      </c>
      <c r="AK38" s="59">
        <v>1.2690629344433546E-4</v>
      </c>
      <c r="AL38" s="59">
        <v>1.2690629344433546E-4</v>
      </c>
      <c r="AM38" s="59">
        <v>434</v>
      </c>
      <c r="AN38" s="59">
        <v>9</v>
      </c>
      <c r="AO38" s="59">
        <v>0</v>
      </c>
      <c r="AP38" s="59">
        <v>0</v>
      </c>
      <c r="AQ38" s="59">
        <v>0</v>
      </c>
    </row>
    <row r="39" spans="2:43" x14ac:dyDescent="0.35">
      <c r="B39" s="37" t="s">
        <v>94</v>
      </c>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v>1388</v>
      </c>
      <c r="AE39" s="38">
        <v>2119</v>
      </c>
      <c r="AF39" s="38">
        <v>1798</v>
      </c>
      <c r="AG39" s="38">
        <v>2626</v>
      </c>
      <c r="AH39" s="38">
        <v>3244.7</v>
      </c>
      <c r="AI39" s="38">
        <v>4147</v>
      </c>
      <c r="AJ39" s="38">
        <v>5089</v>
      </c>
      <c r="AK39" s="38">
        <v>3692.4880800000001</v>
      </c>
      <c r="AL39" s="38">
        <v>3855</v>
      </c>
      <c r="AM39" s="38">
        <v>4025</v>
      </c>
      <c r="AN39" s="38">
        <v>4202</v>
      </c>
      <c r="AO39" s="38">
        <v>4388</v>
      </c>
      <c r="AP39" s="38">
        <f>1438+4001+748-1</f>
        <v>6186</v>
      </c>
      <c r="AQ39" s="38">
        <f>1096+3826+1480</f>
        <v>6402</v>
      </c>
    </row>
    <row r="40" spans="2:43" x14ac:dyDescent="0.35">
      <c r="B40" s="39" t="s">
        <v>95</v>
      </c>
      <c r="C40" s="40">
        <v>1707.542169028</v>
      </c>
      <c r="D40" s="40">
        <v>2354.2621073033301</v>
      </c>
      <c r="E40" s="40">
        <v>3503.9348380199995</v>
      </c>
      <c r="F40" s="40">
        <v>5865.5179017539995</v>
      </c>
      <c r="G40" s="40">
        <v>4388.5200800169996</v>
      </c>
      <c r="H40" s="40">
        <v>3881.9252978529998</v>
      </c>
      <c r="I40" s="40">
        <v>3762.0017203520001</v>
      </c>
      <c r="J40" s="40">
        <v>4748.4594604249996</v>
      </c>
      <c r="K40" s="40">
        <v>4968.5</v>
      </c>
      <c r="L40" s="40">
        <v>5677.626293163531</v>
      </c>
      <c r="M40" s="40">
        <v>6400.2415830172031</v>
      </c>
      <c r="N40" s="40">
        <v>5170</v>
      </c>
      <c r="O40" s="40">
        <v>7072</v>
      </c>
      <c r="P40" s="40">
        <v>4739.9445656661101</v>
      </c>
      <c r="Q40" s="40">
        <v>4209</v>
      </c>
      <c r="R40" s="40">
        <v>7788.8209999999999</v>
      </c>
      <c r="S40" s="40">
        <v>5957.79252</v>
      </c>
      <c r="T40" s="40">
        <v>5419.3324634370001</v>
      </c>
      <c r="U40" s="40">
        <v>6996.1459118377998</v>
      </c>
      <c r="V40" s="40">
        <v>7319.8529084370675</v>
      </c>
      <c r="W40" s="40">
        <v>9336.8055253255989</v>
      </c>
      <c r="X40" s="40">
        <v>7623.7883157345186</v>
      </c>
      <c r="Y40" s="40">
        <v>7499.9047986104788</v>
      </c>
      <c r="Z40" s="40">
        <v>8132.3107754777739</v>
      </c>
      <c r="AA40" s="40">
        <v>8445.8946533575945</v>
      </c>
      <c r="AB40" s="40">
        <v>7193.3313269349501</v>
      </c>
      <c r="AC40" s="40">
        <v>6106</v>
      </c>
      <c r="AD40" s="40">
        <v>6842</v>
      </c>
      <c r="AE40" s="40">
        <v>5863</v>
      </c>
      <c r="AF40" s="40">
        <v>6760</v>
      </c>
      <c r="AG40" s="40">
        <v>24733</v>
      </c>
      <c r="AH40" s="40">
        <v>32710.7</v>
      </c>
      <c r="AI40" s="40">
        <v>29756</v>
      </c>
      <c r="AJ40" s="40">
        <v>35703</v>
      </c>
      <c r="AK40" s="40">
        <v>7619.3383506457576</v>
      </c>
      <c r="AL40" s="40">
        <v>7979</v>
      </c>
      <c r="AM40" s="40">
        <v>8018</v>
      </c>
      <c r="AN40" s="40">
        <f>SUM(AN37:AN39)</f>
        <v>7868</v>
      </c>
      <c r="AO40" s="40">
        <f>SUM(AO37:AO39)</f>
        <v>11668</v>
      </c>
      <c r="AP40" s="40">
        <f>SUM(AP37:AP39)</f>
        <v>8954</v>
      </c>
      <c r="AQ40" s="40">
        <f>SUM(AQ37:AQ39)</f>
        <v>7723</v>
      </c>
    </row>
    <row r="41" spans="2:43" ht="15" thickBot="1" x14ac:dyDescent="0.4">
      <c r="B41" s="44" t="s">
        <v>96</v>
      </c>
      <c r="C41" s="45">
        <f t="shared" ref="C41:V41" si="7">C28+C40+C35</f>
        <v>5791.5193016685535</v>
      </c>
      <c r="D41" s="45">
        <f t="shared" si="7"/>
        <v>7942.3017453163302</v>
      </c>
      <c r="E41" s="45">
        <f t="shared" si="7"/>
        <v>5553.4556694998573</v>
      </c>
      <c r="F41" s="45">
        <f t="shared" si="7"/>
        <v>48233.014009216808</v>
      </c>
      <c r="G41" s="45">
        <f t="shared" si="7"/>
        <v>44826.201215960791</v>
      </c>
      <c r="H41" s="45">
        <f t="shared" si="7"/>
        <v>37057.775480081087</v>
      </c>
      <c r="I41" s="45">
        <f t="shared" si="7"/>
        <v>30216.001720352</v>
      </c>
      <c r="J41" s="45">
        <f t="shared" si="7"/>
        <v>41058.446744242407</v>
      </c>
      <c r="K41" s="45">
        <f t="shared" si="7"/>
        <v>33289.100000000006</v>
      </c>
      <c r="L41" s="45">
        <f t="shared" si="7"/>
        <v>37606.626293163528</v>
      </c>
      <c r="M41" s="45">
        <f t="shared" si="7"/>
        <v>40373.241583017203</v>
      </c>
      <c r="N41" s="45">
        <f t="shared" si="7"/>
        <v>29815</v>
      </c>
      <c r="O41" s="45">
        <f t="shared" si="7"/>
        <v>63785</v>
      </c>
      <c r="P41" s="45">
        <f t="shared" si="7"/>
        <v>51915.944565666112</v>
      </c>
      <c r="Q41" s="45">
        <f t="shared" si="7"/>
        <v>42087</v>
      </c>
      <c r="R41" s="45">
        <f t="shared" si="7"/>
        <v>104134.27001283158</v>
      </c>
      <c r="S41" s="45">
        <f t="shared" si="7"/>
        <v>90732.857142558089</v>
      </c>
      <c r="T41" s="45">
        <f t="shared" si="7"/>
        <v>77442.720492296095</v>
      </c>
      <c r="U41" s="45">
        <f t="shared" si="7"/>
        <v>66003.741333570462</v>
      </c>
      <c r="V41" s="45">
        <f t="shared" si="7"/>
        <v>149318.73822780183</v>
      </c>
      <c r="W41" s="45">
        <v>142011.22427350245</v>
      </c>
      <c r="X41" s="45">
        <v>124422.73247823819</v>
      </c>
      <c r="Y41" s="45">
        <v>110479.27996811699</v>
      </c>
      <c r="Z41" s="45">
        <v>79366.06138157945</v>
      </c>
      <c r="AA41" s="45">
        <v>69951.204569213471</v>
      </c>
      <c r="AB41" s="45">
        <v>56684.007201671498</v>
      </c>
      <c r="AC41" s="45">
        <v>58603</v>
      </c>
      <c r="AD41" s="45">
        <v>12238</v>
      </c>
      <c r="AE41" s="45">
        <v>7252</v>
      </c>
      <c r="AF41" s="45">
        <v>5897</v>
      </c>
      <c r="AG41" s="45">
        <v>9187</v>
      </c>
      <c r="AH41" s="45">
        <v>7728.5</v>
      </c>
      <c r="AI41" s="45">
        <v>11551</v>
      </c>
      <c r="AJ41" s="45">
        <v>10308</v>
      </c>
      <c r="AK41" s="45">
        <v>16857</v>
      </c>
      <c r="AL41" s="45">
        <v>11821</v>
      </c>
      <c r="AM41" s="45">
        <v>15771</v>
      </c>
      <c r="AN41" s="45">
        <f>AN40+AN35+AN28</f>
        <v>9576</v>
      </c>
      <c r="AO41" s="45">
        <f>AO40+AO35+AO28</f>
        <v>8792</v>
      </c>
      <c r="AP41" s="45">
        <f>AP40+AP35+AP28</f>
        <v>8580</v>
      </c>
      <c r="AQ41" s="45">
        <f>AQ40+AQ35+AQ28</f>
        <v>8413</v>
      </c>
    </row>
    <row r="42" spans="2:43" ht="15" thickTop="1" x14ac:dyDescent="0.35">
      <c r="C42" s="49"/>
      <c r="D42" s="49"/>
      <c r="E42" s="49"/>
      <c r="F42" s="49"/>
      <c r="G42" s="49"/>
      <c r="H42" s="49"/>
      <c r="I42" s="49"/>
      <c r="J42" s="49"/>
      <c r="K42" s="49"/>
      <c r="L42" s="49"/>
      <c r="M42" s="49"/>
      <c r="N42" s="49"/>
      <c r="O42" s="49"/>
    </row>
    <row r="43" spans="2:43" x14ac:dyDescent="0.35">
      <c r="U43" s="28"/>
      <c r="AH43" s="28">
        <v>5.1999999999679858E-2</v>
      </c>
      <c r="AI43" s="28"/>
      <c r="AJ43" s="28"/>
      <c r="AK43" s="28"/>
      <c r="AL43" s="28"/>
      <c r="AM43" s="28"/>
      <c r="AN43" s="28"/>
      <c r="AO43" s="28"/>
      <c r="AP43" s="28"/>
      <c r="AQ43" s="28"/>
    </row>
  </sheetData>
  <pageMargins left="0.7" right="0.7" top="0.75" bottom="0.75" header="0.3" footer="0.3"/>
  <pageSetup paperSize="9" scale="66" fitToHeight="0" orientation="landscape" verticalDpi="1200" r:id="rId1"/>
  <ignoredErrors>
    <ignoredError sqref="V1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Q44"/>
  <sheetViews>
    <sheetView zoomScaleNormal="100" workbookViewId="0">
      <pane xSplit="2" ySplit="7" topLeftCell="AN35" activePane="bottomRight" state="frozen"/>
      <selection pane="topRight" activeCell="N21" sqref="N21"/>
      <selection pane="bottomLeft" activeCell="N21" sqref="N21"/>
      <selection pane="bottomRight" activeCell="AP37" sqref="AP37"/>
    </sheetView>
  </sheetViews>
  <sheetFormatPr defaultColWidth="9.08984375" defaultRowHeight="14.5" x14ac:dyDescent="0.35"/>
  <cols>
    <col min="1" max="1" width="2.6328125" style="1" customWidth="1"/>
    <col min="2" max="2" width="43.6328125" style="87" customWidth="1"/>
    <col min="3" max="43" width="9.453125" style="1" customWidth="1"/>
    <col min="44" max="16384" width="9.08984375" style="1"/>
  </cols>
  <sheetData>
    <row r="2" spans="2:43" ht="87" x14ac:dyDescent="0.35">
      <c r="B2" s="74" t="s">
        <v>128</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row>
    <row r="3" spans="2:43" x14ac:dyDescent="0.35">
      <c r="B3" s="77"/>
    </row>
    <row r="4" spans="2:43" x14ac:dyDescent="0.35">
      <c r="B4" s="78" t="s">
        <v>0</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row>
    <row r="5" spans="2:43" x14ac:dyDescent="0.35">
      <c r="B5" s="79" t="s">
        <v>97</v>
      </c>
      <c r="C5" s="8" t="s">
        <v>2</v>
      </c>
      <c r="D5" s="8" t="s">
        <v>3</v>
      </c>
      <c r="E5" s="8" t="s">
        <v>4</v>
      </c>
      <c r="F5" s="8" t="s">
        <v>5</v>
      </c>
      <c r="G5" s="8" t="s">
        <v>6</v>
      </c>
      <c r="H5" s="8" t="s">
        <v>7</v>
      </c>
      <c r="I5" s="8" t="s">
        <v>8</v>
      </c>
      <c r="J5" s="8" t="s">
        <v>9</v>
      </c>
      <c r="K5" s="8" t="s">
        <v>10</v>
      </c>
      <c r="L5" s="8" t="s">
        <v>11</v>
      </c>
      <c r="M5" s="8" t="s">
        <v>12</v>
      </c>
      <c r="N5" s="8" t="s">
        <v>13</v>
      </c>
      <c r="O5" s="8" t="s">
        <v>14</v>
      </c>
      <c r="P5" s="8" t="s">
        <v>15</v>
      </c>
      <c r="Q5" s="8" t="s">
        <v>16</v>
      </c>
      <c r="R5" s="8" t="s">
        <v>17</v>
      </c>
      <c r="S5" s="8" t="s">
        <v>18</v>
      </c>
      <c r="T5" s="8" t="s">
        <v>19</v>
      </c>
      <c r="U5" s="8" t="s">
        <v>20</v>
      </c>
      <c r="V5" s="8" t="s">
        <v>21</v>
      </c>
      <c r="W5" s="8" t="s">
        <v>22</v>
      </c>
      <c r="X5" s="8" t="s">
        <v>23</v>
      </c>
      <c r="Y5" s="8" t="s">
        <v>24</v>
      </c>
      <c r="Z5" s="8" t="s">
        <v>25</v>
      </c>
      <c r="AA5" s="8" t="s">
        <v>26</v>
      </c>
      <c r="AB5" s="8" t="s">
        <v>27</v>
      </c>
      <c r="AC5" s="8" t="s">
        <v>28</v>
      </c>
      <c r="AD5" s="8" t="s">
        <v>29</v>
      </c>
      <c r="AE5" s="8" t="s">
        <v>30</v>
      </c>
      <c r="AF5" s="8" t="s">
        <v>31</v>
      </c>
      <c r="AG5" s="8" t="s">
        <v>32</v>
      </c>
      <c r="AH5" s="8" t="s">
        <v>33</v>
      </c>
      <c r="AI5" s="8" t="s">
        <v>34</v>
      </c>
      <c r="AJ5" s="8" t="s">
        <v>35</v>
      </c>
      <c r="AK5" s="8" t="s">
        <v>36</v>
      </c>
      <c r="AL5" s="8" t="s">
        <v>37</v>
      </c>
      <c r="AM5" s="8" t="s">
        <v>38</v>
      </c>
      <c r="AN5" s="8" t="s">
        <v>39</v>
      </c>
      <c r="AO5" s="8" t="s">
        <v>127</v>
      </c>
      <c r="AP5" s="8" t="s">
        <v>131</v>
      </c>
      <c r="AQ5" s="8" t="s">
        <v>132</v>
      </c>
    </row>
    <row r="6" spans="2:43" x14ac:dyDescent="0.35">
      <c r="B6" s="80"/>
      <c r="C6" s="33"/>
      <c r="D6" s="33"/>
      <c r="E6" s="33"/>
      <c r="F6" s="33"/>
      <c r="G6" s="33"/>
      <c r="H6" s="33"/>
      <c r="I6" s="33"/>
      <c r="J6" s="33"/>
      <c r="K6" s="33"/>
      <c r="L6" s="33"/>
      <c r="M6" s="33"/>
      <c r="N6" s="33"/>
      <c r="O6" s="33"/>
    </row>
    <row r="7" spans="2:43" x14ac:dyDescent="0.35">
      <c r="B7" s="80" t="s">
        <v>98</v>
      </c>
      <c r="C7" s="33"/>
      <c r="D7" s="33"/>
      <c r="E7" s="33"/>
      <c r="F7" s="33"/>
      <c r="G7" s="33"/>
      <c r="H7" s="33"/>
      <c r="I7" s="33"/>
      <c r="J7" s="33"/>
      <c r="K7" s="33"/>
      <c r="L7" s="33"/>
      <c r="M7" s="33"/>
      <c r="N7" s="33"/>
      <c r="O7" s="33"/>
    </row>
    <row r="8" spans="2:43" x14ac:dyDescent="0.35">
      <c r="B8" s="81" t="s">
        <v>47</v>
      </c>
      <c r="C8" s="36">
        <v>-2118.8965341500002</v>
      </c>
      <c r="D8" s="36">
        <v>-2448.3827598950002</v>
      </c>
      <c r="E8" s="36">
        <v>-3948.3</v>
      </c>
      <c r="F8" s="36">
        <v>-5637</v>
      </c>
      <c r="G8" s="36">
        <v>-4948</v>
      </c>
      <c r="H8" s="36">
        <v>-6923</v>
      </c>
      <c r="I8" s="36">
        <v>-6103</v>
      </c>
      <c r="J8" s="36">
        <v>-7822</v>
      </c>
      <c r="K8" s="36">
        <v>-6788.2800000000016</v>
      </c>
      <c r="L8" s="36">
        <v>-6969</v>
      </c>
      <c r="M8" s="36">
        <v>-8312.7199999999975</v>
      </c>
      <c r="N8" s="36">
        <v>-9718</v>
      </c>
      <c r="O8" s="36">
        <v>-8970</v>
      </c>
      <c r="P8" s="36">
        <v>-10057</v>
      </c>
      <c r="Q8" s="36">
        <v>-9785.77767494828</v>
      </c>
      <c r="R8" s="36">
        <v>-12668.90211202623</v>
      </c>
      <c r="S8" s="36">
        <v>-12849</v>
      </c>
      <c r="T8" s="36">
        <v>-14123.730198434467</v>
      </c>
      <c r="U8" s="36">
        <v>-14160.263706969503</v>
      </c>
      <c r="V8" s="36">
        <v>-18944.584322625</v>
      </c>
      <c r="W8" s="36">
        <v>-13681.406496821995</v>
      </c>
      <c r="X8" s="36">
        <v>-13540.765457683303</v>
      </c>
      <c r="Y8" s="36">
        <v>-13811.019173463115</v>
      </c>
      <c r="Z8" s="36">
        <v>-29588.453042498571</v>
      </c>
      <c r="AA8" s="36">
        <v>-11967.8833277592</v>
      </c>
      <c r="AB8" s="36">
        <v>-10637.747237383386</v>
      </c>
      <c r="AC8" s="36">
        <v>-8199</v>
      </c>
      <c r="AD8" s="36">
        <v>-47651</v>
      </c>
      <c r="AE8" s="36">
        <v>-2827</v>
      </c>
      <c r="AF8" s="36">
        <v>-5256</v>
      </c>
      <c r="AG8" s="36">
        <v>-12321</v>
      </c>
      <c r="AH8" s="36">
        <v>-18709</v>
      </c>
      <c r="AI8" s="36">
        <v>-4761</v>
      </c>
      <c r="AJ8" s="36">
        <v>-16173</v>
      </c>
      <c r="AK8" s="36">
        <v>-4160.8049326293985</v>
      </c>
      <c r="AL8" s="36">
        <v>-5869</v>
      </c>
      <c r="AM8" s="36">
        <v>-6408</v>
      </c>
      <c r="AN8" s="36">
        <v>-5694</v>
      </c>
      <c r="AO8" s="36">
        <v>-4399</v>
      </c>
      <c r="AP8" s="36">
        <v>-8125</v>
      </c>
      <c r="AQ8" s="36">
        <v>-3540</v>
      </c>
    </row>
    <row r="9" spans="2:43" x14ac:dyDescent="0.35">
      <c r="B9" s="81" t="s">
        <v>99</v>
      </c>
      <c r="C9" s="36">
        <v>221.696</v>
      </c>
      <c r="D9" s="36">
        <v>245.94399999999999</v>
      </c>
      <c r="E9" s="36">
        <v>88.4</v>
      </c>
      <c r="F9" s="36">
        <v>318.39999999999998</v>
      </c>
      <c r="G9" s="36">
        <v>394</v>
      </c>
      <c r="H9" s="36">
        <v>474</v>
      </c>
      <c r="I9" s="36">
        <v>460</v>
      </c>
      <c r="J9" s="36">
        <v>575</v>
      </c>
      <c r="K9" s="36">
        <v>425</v>
      </c>
      <c r="L9" s="36">
        <v>395</v>
      </c>
      <c r="M9" s="36">
        <v>370.64812247131681</v>
      </c>
      <c r="N9" s="36">
        <v>516.6146494699949</v>
      </c>
      <c r="O9" s="36">
        <v>282</v>
      </c>
      <c r="P9" s="36">
        <v>436</v>
      </c>
      <c r="Q9" s="36">
        <v>349.64831846574407</v>
      </c>
      <c r="R9" s="36">
        <v>365.73743999999988</v>
      </c>
      <c r="S9" s="36">
        <v>438.33354645958542</v>
      </c>
      <c r="T9" s="36">
        <v>544.71023999999966</v>
      </c>
      <c r="U9" s="36">
        <v>589.70177354041505</v>
      </c>
      <c r="V9" s="36">
        <v>647.19895999999972</v>
      </c>
      <c r="W9" s="36">
        <v>576.37900000000002</v>
      </c>
      <c r="X9" s="36">
        <v>159.71628417999989</v>
      </c>
      <c r="Y9" s="36">
        <v>550.57220000000007</v>
      </c>
      <c r="Z9" s="36">
        <v>484.30754000000002</v>
      </c>
      <c r="AA9" s="36">
        <v>271.38529999999997</v>
      </c>
      <c r="AB9" s="36">
        <v>363.61470000000003</v>
      </c>
      <c r="AC9" s="36">
        <v>-519</v>
      </c>
      <c r="AD9" s="36">
        <v>74</v>
      </c>
      <c r="AE9" s="36">
        <v>71</v>
      </c>
      <c r="AF9" s="36">
        <v>76</v>
      </c>
      <c r="AG9" s="36">
        <v>75</v>
      </c>
      <c r="AH9" s="36">
        <v>404</v>
      </c>
      <c r="AI9" s="36">
        <v>529</v>
      </c>
      <c r="AJ9" s="36">
        <v>562</v>
      </c>
      <c r="AK9" s="36">
        <v>2461.1954400000004</v>
      </c>
      <c r="AL9" s="36">
        <v>1381</v>
      </c>
      <c r="AM9" s="36">
        <v>1396</v>
      </c>
      <c r="AN9" s="36">
        <v>1057</v>
      </c>
      <c r="AO9" s="36">
        <v>995</v>
      </c>
      <c r="AP9" s="36">
        <v>433</v>
      </c>
      <c r="AQ9" s="36">
        <v>326</v>
      </c>
    </row>
    <row r="10" spans="2:43" x14ac:dyDescent="0.35">
      <c r="B10" s="81" t="s">
        <v>100</v>
      </c>
      <c r="C10" s="36">
        <v>40.546334999999999</v>
      </c>
      <c r="D10" s="36">
        <v>55.401675333333301</v>
      </c>
      <c r="E10" s="36">
        <v>79.599999999999994</v>
      </c>
      <c r="F10" s="36">
        <v>102.4</v>
      </c>
      <c r="G10" s="36">
        <v>221</v>
      </c>
      <c r="H10" s="36">
        <v>355</v>
      </c>
      <c r="I10" s="36">
        <v>351</v>
      </c>
      <c r="J10" s="36">
        <v>380</v>
      </c>
      <c r="K10" s="36">
        <v>343.97</v>
      </c>
      <c r="L10" s="36">
        <v>308</v>
      </c>
      <c r="M10" s="36">
        <v>427.03</v>
      </c>
      <c r="N10" s="36">
        <v>458</v>
      </c>
      <c r="O10" s="36">
        <v>551.77409999999998</v>
      </c>
      <c r="P10" s="36">
        <v>684.28154790929</v>
      </c>
      <c r="Q10" s="36">
        <v>813.60018209071018</v>
      </c>
      <c r="R10" s="36">
        <v>1020.2273700000001</v>
      </c>
      <c r="S10" s="36">
        <v>899.74572999999998</v>
      </c>
      <c r="T10" s="36">
        <v>830.2704102931001</v>
      </c>
      <c r="U10" s="36">
        <v>832.09690970689985</v>
      </c>
      <c r="V10" s="36">
        <v>1403.5576472145322</v>
      </c>
      <c r="W10" s="36">
        <v>1000.2883432574321</v>
      </c>
      <c r="X10" s="36">
        <v>987.90153735642446</v>
      </c>
      <c r="Y10" s="36">
        <v>1009.0656376552256</v>
      </c>
      <c r="Z10" s="36">
        <v>949.44982522717555</v>
      </c>
      <c r="AA10" s="36">
        <v>1128.9726031180253</v>
      </c>
      <c r="AB10" s="36">
        <v>1034.4857315765962</v>
      </c>
      <c r="AC10" s="36">
        <v>977</v>
      </c>
      <c r="AD10" s="36">
        <v>809</v>
      </c>
      <c r="AE10" s="36">
        <v>0</v>
      </c>
      <c r="AF10" s="36">
        <v>1</v>
      </c>
      <c r="AG10" s="36">
        <v>8</v>
      </c>
      <c r="AH10" s="36">
        <v>14</v>
      </c>
      <c r="AI10" s="36">
        <v>12</v>
      </c>
      <c r="AJ10" s="36">
        <v>14</v>
      </c>
      <c r="AK10" s="36">
        <f>708.66616-697</f>
        <v>11.666159999999991</v>
      </c>
      <c r="AL10" s="36">
        <v>9</v>
      </c>
      <c r="AM10" s="36">
        <v>12</v>
      </c>
      <c r="AN10" s="36">
        <v>146</v>
      </c>
      <c r="AO10" s="36">
        <v>99</v>
      </c>
      <c r="AP10" s="36">
        <v>145</v>
      </c>
      <c r="AQ10" s="36">
        <v>127</v>
      </c>
    </row>
    <row r="11" spans="2:43" ht="26" x14ac:dyDescent="0.35">
      <c r="B11" s="81" t="s">
        <v>101</v>
      </c>
      <c r="C11" s="36"/>
      <c r="D11" s="36"/>
      <c r="E11" s="36"/>
      <c r="F11" s="36"/>
      <c r="G11" s="36"/>
      <c r="H11" s="36"/>
      <c r="I11" s="36"/>
      <c r="J11" s="36"/>
      <c r="K11" s="36"/>
      <c r="L11" s="36"/>
      <c r="M11" s="36"/>
      <c r="N11" s="36">
        <v>318.51456967577502</v>
      </c>
      <c r="O11" s="36">
        <v>0</v>
      </c>
      <c r="P11" s="36">
        <v>278.16497442000002</v>
      </c>
      <c r="Q11" s="36">
        <v>0</v>
      </c>
      <c r="R11" s="36">
        <v>133.52699999999999</v>
      </c>
      <c r="S11" s="36">
        <v>0</v>
      </c>
      <c r="T11" s="36">
        <v>0</v>
      </c>
      <c r="U11" s="36">
        <v>0</v>
      </c>
      <c r="V11" s="36">
        <v>3174.5105600000002</v>
      </c>
      <c r="W11" s="36">
        <v>0</v>
      </c>
      <c r="X11" s="36">
        <v>0</v>
      </c>
      <c r="Y11" s="36">
        <v>0</v>
      </c>
      <c r="Z11" s="36">
        <v>14832.0980568784</v>
      </c>
      <c r="AA11" s="36">
        <v>0</v>
      </c>
      <c r="AB11" s="36">
        <v>0</v>
      </c>
      <c r="AC11" s="36">
        <v>1948</v>
      </c>
      <c r="AD11" s="36">
        <v>40431</v>
      </c>
      <c r="AE11" s="36">
        <v>0</v>
      </c>
      <c r="AF11" s="36">
        <v>0</v>
      </c>
      <c r="AG11" s="36">
        <v>0</v>
      </c>
      <c r="AH11" s="36">
        <v>23</v>
      </c>
      <c r="AI11" s="36">
        <v>0</v>
      </c>
      <c r="AJ11" s="36">
        <v>0</v>
      </c>
      <c r="AK11" s="36">
        <v>0</v>
      </c>
      <c r="AL11" s="36">
        <v>0</v>
      </c>
      <c r="AM11" s="36">
        <v>0</v>
      </c>
      <c r="AN11" s="36">
        <v>0</v>
      </c>
      <c r="AO11" s="36">
        <v>0</v>
      </c>
      <c r="AP11" s="36">
        <v>0</v>
      </c>
      <c r="AQ11" s="36">
        <v>0</v>
      </c>
    </row>
    <row r="12" spans="2:43" x14ac:dyDescent="0.35">
      <c r="B12" s="81" t="s">
        <v>102</v>
      </c>
      <c r="C12" s="36"/>
      <c r="D12" s="36"/>
      <c r="E12" s="36"/>
      <c r="F12" s="36"/>
      <c r="G12" s="36"/>
      <c r="H12" s="36"/>
      <c r="I12" s="36"/>
      <c r="J12" s="36"/>
      <c r="K12" s="36"/>
      <c r="L12" s="36">
        <v>-2.1576499999999998</v>
      </c>
      <c r="M12" s="36">
        <v>93.157650000000004</v>
      </c>
      <c r="N12" s="36">
        <v>38.636298974571758</v>
      </c>
      <c r="O12" s="36">
        <v>-1</v>
      </c>
      <c r="P12" s="36">
        <v>0</v>
      </c>
      <c r="Q12" s="36">
        <v>0</v>
      </c>
      <c r="R12" s="36">
        <v>2.1134152791403924</v>
      </c>
      <c r="S12" s="36">
        <v>0</v>
      </c>
      <c r="T12" s="36">
        <v>-438.81673667999996</v>
      </c>
      <c r="U12" s="36">
        <v>-106.78638639748499</v>
      </c>
      <c r="V12" s="36">
        <v>195.68429423768868</v>
      </c>
      <c r="W12" s="36">
        <v>-406.92069969419305</v>
      </c>
      <c r="X12" s="36">
        <v>8.3339644970413929</v>
      </c>
      <c r="Y12" s="36">
        <v>-0.85000000000002274</v>
      </c>
      <c r="Z12" s="36">
        <v>-79.8363333333333</v>
      </c>
      <c r="AA12" s="36">
        <v>-12.466488024841899</v>
      </c>
      <c r="AB12" s="36">
        <v>0</v>
      </c>
      <c r="AC12" s="36">
        <v>0</v>
      </c>
      <c r="AD12" s="36">
        <v>-229</v>
      </c>
      <c r="AE12" s="36">
        <v>0</v>
      </c>
      <c r="AF12" s="36">
        <v>89</v>
      </c>
      <c r="AG12" s="36">
        <v>0</v>
      </c>
      <c r="AH12" s="36">
        <v>-139</v>
      </c>
      <c r="AI12" s="36">
        <v>0</v>
      </c>
      <c r="AJ12" s="36">
        <v>0</v>
      </c>
      <c r="AK12" s="36">
        <v>0</v>
      </c>
      <c r="AL12" s="36">
        <v>0</v>
      </c>
      <c r="AM12" s="36">
        <v>0</v>
      </c>
      <c r="AN12" s="36">
        <v>0</v>
      </c>
      <c r="AO12" s="36">
        <v>0</v>
      </c>
      <c r="AP12" s="36">
        <v>0</v>
      </c>
      <c r="AQ12" s="36">
        <v>0</v>
      </c>
    </row>
    <row r="13" spans="2:43" x14ac:dyDescent="0.35">
      <c r="B13" s="81" t="s">
        <v>103</v>
      </c>
      <c r="C13" s="36"/>
      <c r="D13" s="36"/>
      <c r="E13" s="36"/>
      <c r="F13" s="36"/>
      <c r="G13" s="36"/>
      <c r="H13" s="36"/>
      <c r="I13" s="36"/>
      <c r="J13" s="36"/>
      <c r="K13" s="36"/>
      <c r="L13" s="36"/>
      <c r="M13" s="36"/>
      <c r="N13" s="36">
        <v>0</v>
      </c>
      <c r="O13" s="36">
        <v>0</v>
      </c>
      <c r="P13" s="36">
        <v>-110</v>
      </c>
      <c r="Q13" s="36">
        <v>0</v>
      </c>
      <c r="R13" s="36">
        <v>-8</v>
      </c>
      <c r="S13" s="36">
        <v>0</v>
      </c>
      <c r="T13" s="36">
        <v>0</v>
      </c>
      <c r="U13" s="36">
        <v>-110</v>
      </c>
      <c r="V13" s="36">
        <v>72</v>
      </c>
      <c r="W13" s="36">
        <v>-16.522811344019729</v>
      </c>
      <c r="X13" s="36">
        <v>-34.698166009973114</v>
      </c>
      <c r="Y13" s="36">
        <v>-21.126497393481905</v>
      </c>
      <c r="Z13" s="36">
        <v>-19.052061215402276</v>
      </c>
      <c r="AA13" s="36">
        <v>-23.406535947712417</v>
      </c>
      <c r="AB13" s="36">
        <v>-22.852236926345714</v>
      </c>
      <c r="AC13" s="36">
        <v>-22.852236926345714</v>
      </c>
      <c r="AD13" s="36">
        <v>79</v>
      </c>
      <c r="AE13" s="36">
        <v>0</v>
      </c>
      <c r="AF13" s="36">
        <v>0</v>
      </c>
      <c r="AG13" s="36">
        <v>0</v>
      </c>
      <c r="AH13" s="36">
        <v>0</v>
      </c>
      <c r="AI13" s="36">
        <v>0</v>
      </c>
      <c r="AJ13" s="36">
        <v>0</v>
      </c>
      <c r="AK13" s="36">
        <v>0</v>
      </c>
      <c r="AL13" s="36">
        <v>0</v>
      </c>
      <c r="AM13" s="36">
        <v>0</v>
      </c>
      <c r="AN13" s="36">
        <v>0</v>
      </c>
      <c r="AO13" s="36">
        <v>0</v>
      </c>
      <c r="AP13" s="36">
        <v>0</v>
      </c>
      <c r="AQ13" s="36">
        <v>0</v>
      </c>
    </row>
    <row r="14" spans="2:43" x14ac:dyDescent="0.35">
      <c r="B14" s="81" t="s">
        <v>48</v>
      </c>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v>1367</v>
      </c>
      <c r="AE14" s="36">
        <v>751</v>
      </c>
      <c r="AF14" s="36">
        <f>19974-18204</f>
        <v>1770</v>
      </c>
      <c r="AG14" s="36">
        <v>9249</v>
      </c>
      <c r="AH14" s="36">
        <v>15352</v>
      </c>
      <c r="AI14" s="36">
        <v>-241</v>
      </c>
      <c r="AJ14" s="36">
        <v>940</v>
      </c>
      <c r="AK14" s="36">
        <v>-710</v>
      </c>
      <c r="AL14" s="36">
        <v>-58</v>
      </c>
      <c r="AM14" s="36">
        <v>1195</v>
      </c>
      <c r="AN14" s="36">
        <v>-476</v>
      </c>
      <c r="AO14" s="36">
        <v>-516</v>
      </c>
      <c r="AP14" s="36">
        <v>3336</v>
      </c>
      <c r="AQ14" s="36">
        <v>418</v>
      </c>
    </row>
    <row r="15" spans="2:43" x14ac:dyDescent="0.35">
      <c r="B15" s="82" t="s">
        <v>104</v>
      </c>
      <c r="C15" s="38">
        <v>-691.3</v>
      </c>
      <c r="D15" s="38">
        <v>681.5</v>
      </c>
      <c r="E15" s="38">
        <v>478</v>
      </c>
      <c r="F15" s="38">
        <v>3045</v>
      </c>
      <c r="G15" s="38">
        <f>-2582-3</f>
        <v>-2585</v>
      </c>
      <c r="H15" s="38">
        <f>232.23-16+474</f>
        <v>690.23</v>
      </c>
      <c r="I15" s="38">
        <f>-775+400</f>
        <v>-375</v>
      </c>
      <c r="J15" s="38">
        <f>1633-1153-4</f>
        <v>476</v>
      </c>
      <c r="K15" s="38">
        <v>725.4</v>
      </c>
      <c r="L15" s="38">
        <v>-549.18778169918494</v>
      </c>
      <c r="M15" s="38">
        <v>1276.2027105392717</v>
      </c>
      <c r="N15" s="38">
        <v>607.54070125506769</v>
      </c>
      <c r="O15" s="38">
        <v>1884.6270062399999</v>
      </c>
      <c r="P15" s="38">
        <v>-2749.3869543338901</v>
      </c>
      <c r="Q15" s="38">
        <v>-702</v>
      </c>
      <c r="R15" s="38">
        <v>719.78557470569785</v>
      </c>
      <c r="S15" s="38">
        <v>-1372.5444156840299</v>
      </c>
      <c r="T15" s="38">
        <v>-127</v>
      </c>
      <c r="U15" s="38">
        <v>1353</v>
      </c>
      <c r="V15" s="38">
        <v>-1067.090954138861</v>
      </c>
      <c r="W15" s="38">
        <v>218.06540810883007</v>
      </c>
      <c r="X15" s="38">
        <v>-4111.2904614392437</v>
      </c>
      <c r="Y15" s="38">
        <v>-2100.72462162376</v>
      </c>
      <c r="Z15" s="38">
        <v>4218.7355246521165</v>
      </c>
      <c r="AA15" s="38">
        <v>621.55110923478605</v>
      </c>
      <c r="AB15" s="38">
        <v>216.53659879463476</v>
      </c>
      <c r="AC15" s="38">
        <v>753</v>
      </c>
      <c r="AD15" s="38">
        <v>157</v>
      </c>
      <c r="AE15" s="38">
        <v>-1368</v>
      </c>
      <c r="AF15" s="38">
        <v>824</v>
      </c>
      <c r="AG15" s="38">
        <v>-307</v>
      </c>
      <c r="AH15" s="38">
        <v>335</v>
      </c>
      <c r="AI15" s="38">
        <v>1015</v>
      </c>
      <c r="AJ15" s="38">
        <v>11450</v>
      </c>
      <c r="AK15" s="38">
        <v>-1824.5413729543561</v>
      </c>
      <c r="AL15" s="38">
        <v>745</v>
      </c>
      <c r="AM15" s="38">
        <v>-1181</v>
      </c>
      <c r="AN15" s="38">
        <v>-422</v>
      </c>
      <c r="AO15" s="38">
        <v>-1222</v>
      </c>
      <c r="AP15" s="38">
        <v>131</v>
      </c>
      <c r="AQ15" s="38">
        <v>-1209</v>
      </c>
    </row>
    <row r="16" spans="2:43" s="50" customFormat="1" x14ac:dyDescent="0.35">
      <c r="B16" s="83" t="s">
        <v>105</v>
      </c>
      <c r="C16" s="40">
        <f t="shared" ref="C16:O16" si="0">SUM(C8:C15)</f>
        <v>-2547.95419915</v>
      </c>
      <c r="D16" s="40">
        <f t="shared" si="0"/>
        <v>-1465.5370845616667</v>
      </c>
      <c r="E16" s="40">
        <f t="shared" si="0"/>
        <v>-3302.3</v>
      </c>
      <c r="F16" s="40">
        <f t="shared" si="0"/>
        <v>-2171.2000000000007</v>
      </c>
      <c r="G16" s="40">
        <f t="shared" si="0"/>
        <v>-6918</v>
      </c>
      <c r="H16" s="40">
        <f t="shared" si="0"/>
        <v>-5403.77</v>
      </c>
      <c r="I16" s="40">
        <f t="shared" si="0"/>
        <v>-5667</v>
      </c>
      <c r="J16" s="40">
        <f t="shared" si="0"/>
        <v>-6391</v>
      </c>
      <c r="K16" s="40">
        <f t="shared" si="0"/>
        <v>-5293.9100000000017</v>
      </c>
      <c r="L16" s="40">
        <f t="shared" si="0"/>
        <v>-6817.3454316991847</v>
      </c>
      <c r="M16" s="40">
        <f t="shared" si="0"/>
        <v>-6145.6815169894089</v>
      </c>
      <c r="N16" s="40">
        <f t="shared" si="0"/>
        <v>-7778.6937806245896</v>
      </c>
      <c r="O16" s="40">
        <f t="shared" si="0"/>
        <v>-6252.5988937600005</v>
      </c>
      <c r="P16" s="40">
        <f>SUM(P8:P15)+1</f>
        <v>-11516.9404320046</v>
      </c>
      <c r="Q16" s="40">
        <f t="shared" ref="Q16:V16" si="1">SUM(Q8:Q15)</f>
        <v>-9324.529174391826</v>
      </c>
      <c r="R16" s="40">
        <f t="shared" si="1"/>
        <v>-10435.51131204139</v>
      </c>
      <c r="S16" s="40">
        <f t="shared" si="1"/>
        <v>-12883.465139224443</v>
      </c>
      <c r="T16" s="40">
        <f t="shared" si="1"/>
        <v>-13314.566284821367</v>
      </c>
      <c r="U16" s="40">
        <f t="shared" si="1"/>
        <v>-11602.251410119674</v>
      </c>
      <c r="V16" s="40">
        <f t="shared" si="1"/>
        <v>-14518.723815311638</v>
      </c>
      <c r="W16" s="40">
        <v>-12310.413864590495</v>
      </c>
      <c r="X16" s="40">
        <v>-16530.802299099054</v>
      </c>
      <c r="Y16" s="40">
        <v>-14374.082454825131</v>
      </c>
      <c r="Z16" s="40">
        <v>-9202.6437986768069</v>
      </c>
      <c r="AA16" s="40">
        <f>SUM(AA8:AA15)</f>
        <v>-9981.8473393789427</v>
      </c>
      <c r="AB16" s="40">
        <v>-9045.9624439385043</v>
      </c>
      <c r="AC16" s="40">
        <v>-5063</v>
      </c>
      <c r="AD16" s="40">
        <v>-4963</v>
      </c>
      <c r="AE16" s="40">
        <v>-3373</v>
      </c>
      <c r="AF16" s="40">
        <v>-2496</v>
      </c>
      <c r="AG16" s="40">
        <f>SUM(AG8:AG15)</f>
        <v>-3296</v>
      </c>
      <c r="AH16" s="40">
        <v>-2720</v>
      </c>
      <c r="AI16" s="40">
        <v>-3446</v>
      </c>
      <c r="AJ16" s="40">
        <v>-3207</v>
      </c>
      <c r="AK16" s="40">
        <f t="shared" ref="AK16:AP16" si="2">SUM(AK8:AK15)</f>
        <v>-4222.4847055837545</v>
      </c>
      <c r="AL16" s="40">
        <f t="shared" si="2"/>
        <v>-3792</v>
      </c>
      <c r="AM16" s="40">
        <f t="shared" si="2"/>
        <v>-4986</v>
      </c>
      <c r="AN16" s="40">
        <f t="shared" si="2"/>
        <v>-5389</v>
      </c>
      <c r="AO16" s="40">
        <f t="shared" si="2"/>
        <v>-5043</v>
      </c>
      <c r="AP16" s="40">
        <f t="shared" si="2"/>
        <v>-4080</v>
      </c>
      <c r="AQ16" s="40">
        <f t="shared" ref="AQ16" si="3">SUM(AQ8:AQ15)</f>
        <v>-3878</v>
      </c>
    </row>
    <row r="17" spans="2:43" x14ac:dyDescent="0.35">
      <c r="B17" s="84"/>
      <c r="C17" s="51"/>
      <c r="D17" s="51"/>
      <c r="E17" s="51"/>
      <c r="F17" s="51"/>
      <c r="G17" s="51"/>
      <c r="H17" s="51"/>
      <c r="I17" s="51"/>
      <c r="J17" s="51"/>
      <c r="K17" s="51"/>
      <c r="L17" s="51"/>
      <c r="M17" s="51"/>
      <c r="N17" s="51"/>
      <c r="O17" s="51"/>
      <c r="Y17" s="55"/>
      <c r="Z17" s="55"/>
      <c r="AA17" s="55"/>
      <c r="AB17" s="55"/>
      <c r="AC17" s="55"/>
      <c r="AD17" s="55"/>
      <c r="AE17" s="55"/>
      <c r="AF17" s="55"/>
      <c r="AG17" s="55"/>
      <c r="AH17" s="55"/>
      <c r="AI17" s="55"/>
      <c r="AJ17" s="55"/>
      <c r="AK17" s="55"/>
      <c r="AL17" s="55"/>
      <c r="AM17" s="55"/>
      <c r="AN17" s="55"/>
      <c r="AO17" s="55"/>
      <c r="AP17" s="55"/>
      <c r="AQ17" s="55"/>
    </row>
    <row r="18" spans="2:43" x14ac:dyDescent="0.35">
      <c r="B18" s="80" t="s">
        <v>106</v>
      </c>
      <c r="C18" s="51"/>
      <c r="D18" s="51"/>
      <c r="E18" s="51"/>
      <c r="F18" s="51"/>
      <c r="G18" s="51"/>
      <c r="H18" s="51"/>
      <c r="I18" s="51"/>
      <c r="J18" s="51"/>
      <c r="K18" s="51"/>
      <c r="L18" s="51"/>
      <c r="M18" s="51"/>
      <c r="N18" s="51"/>
      <c r="O18" s="51"/>
    </row>
    <row r="19" spans="2:43" x14ac:dyDescent="0.35">
      <c r="B19" s="81" t="s">
        <v>107</v>
      </c>
      <c r="C19" s="36">
        <v>-185.83770000000001</v>
      </c>
      <c r="D19" s="36">
        <v>-685.29949999999997</v>
      </c>
      <c r="E19" s="36">
        <v>-173</v>
      </c>
      <c r="F19" s="36">
        <v>-1830</v>
      </c>
      <c r="G19" s="36">
        <v>-862</v>
      </c>
      <c r="H19" s="36">
        <v>-2042.3000000000002</v>
      </c>
      <c r="I19" s="36">
        <v>0</v>
      </c>
      <c r="J19" s="36">
        <f>-351+64</f>
        <v>-287</v>
      </c>
      <c r="K19" s="36">
        <v>-442</v>
      </c>
      <c r="L19" s="36">
        <v>-1054.5138568686743</v>
      </c>
      <c r="M19" s="36">
        <v>-3349.6222589943363</v>
      </c>
      <c r="N19" s="36">
        <v>37.136115863010673</v>
      </c>
      <c r="O19" s="36">
        <v>-1700</v>
      </c>
      <c r="P19" s="36">
        <v>-945</v>
      </c>
      <c r="Q19" s="36">
        <v>-275</v>
      </c>
      <c r="R19" s="36">
        <v>-1543.5328972036023</v>
      </c>
      <c r="S19" s="36">
        <v>-4751.527529547373</v>
      </c>
      <c r="T19" s="36">
        <v>-4506.1646753756377</v>
      </c>
      <c r="U19" s="36">
        <v>-2886.6119687485898</v>
      </c>
      <c r="V19" s="36">
        <v>-3765.9858470644467</v>
      </c>
      <c r="W19" s="36">
        <v>-2041.0158600000004</v>
      </c>
      <c r="X19" s="36">
        <v>-804.53013999999939</v>
      </c>
      <c r="Y19" s="36">
        <v>-1009.0220000000004</v>
      </c>
      <c r="Z19" s="36">
        <v>-2149.01991</v>
      </c>
      <c r="AA19" s="36">
        <v>-1763.9520199999999</v>
      </c>
      <c r="AB19" s="36">
        <v>-16.815240000000131</v>
      </c>
      <c r="AC19" s="36">
        <v>-821</v>
      </c>
      <c r="AD19" s="36">
        <v>-575</v>
      </c>
      <c r="AE19" s="36">
        <v>0</v>
      </c>
      <c r="AF19" s="36">
        <v>-65</v>
      </c>
      <c r="AG19" s="36">
        <v>-183</v>
      </c>
      <c r="AH19" s="36">
        <v>0</v>
      </c>
      <c r="AI19" s="36">
        <v>-138</v>
      </c>
      <c r="AJ19" s="36">
        <v>-1091</v>
      </c>
      <c r="AK19" s="36">
        <v>-388</v>
      </c>
      <c r="AL19" s="36">
        <v>-216</v>
      </c>
      <c r="AM19" s="36">
        <v>-202</v>
      </c>
      <c r="AN19" s="36">
        <v>-135</v>
      </c>
      <c r="AO19" s="36">
        <v>-229</v>
      </c>
      <c r="AP19" s="36">
        <v>13</v>
      </c>
      <c r="AQ19" s="36">
        <v>-10</v>
      </c>
    </row>
    <row r="20" spans="2:43" ht="26" x14ac:dyDescent="0.35">
      <c r="B20" s="81" t="s">
        <v>108</v>
      </c>
      <c r="C20" s="36">
        <v>0</v>
      </c>
      <c r="D20" s="36">
        <v>0</v>
      </c>
      <c r="E20" s="36">
        <v>0</v>
      </c>
      <c r="F20" s="36">
        <v>0</v>
      </c>
      <c r="G20" s="36">
        <v>0</v>
      </c>
      <c r="H20" s="36">
        <v>0</v>
      </c>
      <c r="I20" s="36">
        <v>0</v>
      </c>
      <c r="J20" s="36">
        <v>0</v>
      </c>
      <c r="K20" s="36">
        <v>0</v>
      </c>
      <c r="L20" s="36">
        <v>0</v>
      </c>
      <c r="M20" s="36">
        <v>0</v>
      </c>
      <c r="N20" s="36">
        <v>0</v>
      </c>
      <c r="O20" s="36">
        <v>0</v>
      </c>
      <c r="P20" s="36">
        <v>0</v>
      </c>
      <c r="Q20" s="36">
        <v>0</v>
      </c>
      <c r="R20" s="36">
        <v>0</v>
      </c>
      <c r="S20" s="36">
        <v>-4162</v>
      </c>
      <c r="T20" s="36">
        <v>-7120</v>
      </c>
      <c r="U20" s="36">
        <v>-1032</v>
      </c>
      <c r="V20" s="36">
        <v>830</v>
      </c>
      <c r="W20" s="36">
        <v>-980</v>
      </c>
      <c r="X20" s="36">
        <v>-1703.136</v>
      </c>
      <c r="Y20" s="36">
        <v>-1949.962</v>
      </c>
      <c r="Z20" s="36">
        <v>-371.97123999999985</v>
      </c>
      <c r="AA20" s="36">
        <v>-342.0772</v>
      </c>
      <c r="AB20" s="36">
        <v>-2392.9227999999998</v>
      </c>
      <c r="AC20" s="36">
        <v>-1653</v>
      </c>
      <c r="AD20" s="36">
        <v>2735</v>
      </c>
      <c r="AE20" s="36">
        <v>0</v>
      </c>
      <c r="AF20" s="36">
        <v>0</v>
      </c>
      <c r="AG20" s="36">
        <v>0</v>
      </c>
      <c r="AH20" s="36">
        <v>0</v>
      </c>
      <c r="AI20" s="36">
        <v>0</v>
      </c>
      <c r="AJ20" s="36">
        <v>0</v>
      </c>
      <c r="AK20" s="36">
        <v>0</v>
      </c>
      <c r="AL20" s="36">
        <v>0</v>
      </c>
      <c r="AM20" s="36">
        <v>0</v>
      </c>
      <c r="AN20" s="36">
        <v>0</v>
      </c>
      <c r="AO20" s="36">
        <v>0</v>
      </c>
      <c r="AP20" s="36">
        <v>0</v>
      </c>
      <c r="AQ20" s="36">
        <v>0</v>
      </c>
    </row>
    <row r="21" spans="2:43" x14ac:dyDescent="0.35">
      <c r="B21" s="81" t="s">
        <v>109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v>-710</v>
      </c>
      <c r="AD21" s="36">
        <v>710</v>
      </c>
      <c r="AE21" s="36">
        <v>0</v>
      </c>
      <c r="AF21" s="36">
        <v>0</v>
      </c>
      <c r="AG21" s="36">
        <v>0</v>
      </c>
      <c r="AH21" s="36">
        <v>0</v>
      </c>
      <c r="AI21" s="36">
        <v>0</v>
      </c>
      <c r="AJ21" s="36">
        <v>0</v>
      </c>
      <c r="AK21" s="36">
        <v>0</v>
      </c>
      <c r="AL21" s="36">
        <v>0</v>
      </c>
      <c r="AM21" s="36">
        <v>0</v>
      </c>
      <c r="AN21" s="36">
        <v>0</v>
      </c>
      <c r="AO21" s="36">
        <v>0</v>
      </c>
      <c r="AP21" s="36">
        <v>0</v>
      </c>
      <c r="AQ21" s="36">
        <v>0</v>
      </c>
    </row>
    <row r="22" spans="2:43" x14ac:dyDescent="0.35">
      <c r="B22" s="81" t="s">
        <v>110</v>
      </c>
      <c r="C22" s="36">
        <v>0</v>
      </c>
      <c r="D22" s="36">
        <v>0</v>
      </c>
      <c r="E22" s="36">
        <v>0</v>
      </c>
      <c r="F22" s="36">
        <v>0</v>
      </c>
      <c r="G22" s="36">
        <v>0</v>
      </c>
      <c r="H22" s="36">
        <v>0</v>
      </c>
      <c r="I22" s="36">
        <v>0</v>
      </c>
      <c r="J22" s="36">
        <v>0</v>
      </c>
      <c r="K22" s="36">
        <v>0</v>
      </c>
      <c r="L22" s="36">
        <v>-673.79712496513969</v>
      </c>
      <c r="M22" s="36">
        <v>-63.122100677995263</v>
      </c>
      <c r="N22" s="36">
        <v>-62.080774356865049</v>
      </c>
      <c r="O22" s="36">
        <v>-62.5</v>
      </c>
      <c r="P22" s="36">
        <v>-362.5</v>
      </c>
      <c r="Q22" s="36">
        <v>-62.5</v>
      </c>
      <c r="R22" s="36">
        <v>-62.5</v>
      </c>
      <c r="S22" s="36">
        <v>0</v>
      </c>
      <c r="T22" s="36">
        <v>0</v>
      </c>
      <c r="U22" s="36">
        <v>-62.5</v>
      </c>
      <c r="V22" s="36">
        <v>0</v>
      </c>
      <c r="W22" s="36">
        <v>0</v>
      </c>
      <c r="X22" s="36">
        <v>0</v>
      </c>
      <c r="Y22" s="36">
        <v>0</v>
      </c>
      <c r="Z22" s="36">
        <v>0</v>
      </c>
      <c r="AA22" s="36">
        <v>0</v>
      </c>
      <c r="AB22" s="36">
        <v>0</v>
      </c>
      <c r="AC22" s="36">
        <v>0</v>
      </c>
      <c r="AD22" s="36">
        <v>0</v>
      </c>
      <c r="AE22" s="36">
        <v>0</v>
      </c>
      <c r="AF22" s="36">
        <v>0</v>
      </c>
      <c r="AG22" s="36">
        <v>0</v>
      </c>
      <c r="AH22" s="36">
        <v>0</v>
      </c>
      <c r="AI22" s="36">
        <v>0</v>
      </c>
      <c r="AJ22" s="36">
        <v>0</v>
      </c>
      <c r="AK22" s="36">
        <v>0</v>
      </c>
      <c r="AL22" s="36">
        <v>0</v>
      </c>
      <c r="AM22" s="36">
        <v>0</v>
      </c>
      <c r="AN22" s="36">
        <v>0</v>
      </c>
      <c r="AO22" s="36">
        <v>0</v>
      </c>
      <c r="AP22" s="36">
        <v>0</v>
      </c>
      <c r="AQ22" s="36">
        <v>0</v>
      </c>
    </row>
    <row r="23" spans="2:43" x14ac:dyDescent="0.35">
      <c r="B23" s="81" t="s">
        <v>111</v>
      </c>
      <c r="C23" s="36">
        <v>0</v>
      </c>
      <c r="D23" s="36">
        <v>0</v>
      </c>
      <c r="E23" s="36">
        <v>0</v>
      </c>
      <c r="F23" s="36">
        <v>0</v>
      </c>
      <c r="G23" s="36">
        <v>-2700</v>
      </c>
      <c r="H23" s="36">
        <v>0</v>
      </c>
      <c r="I23" s="36">
        <v>0</v>
      </c>
      <c r="J23" s="36">
        <v>0</v>
      </c>
      <c r="K23" s="36">
        <v>0</v>
      </c>
      <c r="L23" s="36">
        <v>0</v>
      </c>
      <c r="M23" s="36">
        <v>0</v>
      </c>
      <c r="N23" s="36">
        <v>0</v>
      </c>
      <c r="O23" s="36">
        <v>0</v>
      </c>
      <c r="P23" s="36">
        <v>0</v>
      </c>
      <c r="Q23" s="36">
        <v>0</v>
      </c>
      <c r="R23" s="36">
        <v>0</v>
      </c>
      <c r="S23" s="36">
        <v>0</v>
      </c>
      <c r="T23" s="36">
        <v>0</v>
      </c>
      <c r="U23" s="36">
        <v>0</v>
      </c>
      <c r="V23" s="36">
        <v>0</v>
      </c>
      <c r="W23" s="36">
        <v>0</v>
      </c>
      <c r="X23" s="36">
        <v>0</v>
      </c>
      <c r="Y23" s="36">
        <v>0</v>
      </c>
      <c r="Z23" s="36">
        <v>0</v>
      </c>
      <c r="AA23" s="36">
        <v>0</v>
      </c>
      <c r="AB23" s="36">
        <v>0</v>
      </c>
      <c r="AC23" s="36">
        <v>0</v>
      </c>
      <c r="AD23" s="36">
        <v>0</v>
      </c>
      <c r="AE23" s="36">
        <v>0</v>
      </c>
      <c r="AF23" s="36">
        <v>0</v>
      </c>
      <c r="AG23" s="36">
        <v>0</v>
      </c>
      <c r="AH23" s="36">
        <v>0</v>
      </c>
      <c r="AI23" s="36">
        <v>0</v>
      </c>
      <c r="AJ23" s="36">
        <v>0</v>
      </c>
      <c r="AK23" s="36">
        <v>0</v>
      </c>
      <c r="AL23" s="36">
        <v>0</v>
      </c>
      <c r="AM23" s="36">
        <v>0</v>
      </c>
      <c r="AN23" s="36">
        <v>0</v>
      </c>
      <c r="AO23" s="36">
        <v>0</v>
      </c>
      <c r="AP23" s="36">
        <v>0</v>
      </c>
      <c r="AQ23" s="36">
        <v>0</v>
      </c>
    </row>
    <row r="24" spans="2:43" x14ac:dyDescent="0.35">
      <c r="B24" s="81" t="s">
        <v>112</v>
      </c>
      <c r="C24" s="36">
        <v>0</v>
      </c>
      <c r="D24" s="36">
        <v>0</v>
      </c>
      <c r="E24" s="36">
        <v>0</v>
      </c>
      <c r="F24" s="36">
        <v>0</v>
      </c>
      <c r="G24" s="36"/>
      <c r="H24" s="36"/>
      <c r="I24" s="36"/>
      <c r="J24" s="36">
        <v>-26</v>
      </c>
      <c r="K24" s="36">
        <v>-38</v>
      </c>
      <c r="L24" s="36"/>
      <c r="M24" s="36">
        <v>-22.900999999999996</v>
      </c>
      <c r="N24" s="36">
        <v>-21.099000000000004</v>
      </c>
      <c r="O24" s="36">
        <v>-12</v>
      </c>
      <c r="P24" s="36">
        <v>-4</v>
      </c>
      <c r="Q24" s="36">
        <v>-197.776055232527</v>
      </c>
      <c r="R24" s="36">
        <v>-128.10117178213702</v>
      </c>
      <c r="S24" s="36">
        <v>-120.25335357604401</v>
      </c>
      <c r="T24" s="36">
        <v>-99.595495103929991</v>
      </c>
      <c r="U24" s="36">
        <v>-193.28441069477898</v>
      </c>
      <c r="V24" s="36">
        <v>-289.2495930331774</v>
      </c>
      <c r="W24" s="36">
        <v>-374.3</v>
      </c>
      <c r="X24" s="36">
        <v>-439.98099999999994</v>
      </c>
      <c r="Y24" s="36">
        <v>-331.798</v>
      </c>
      <c r="Z24" s="36">
        <v>-433.79999999999995</v>
      </c>
      <c r="AA24" s="36">
        <v>-173.94499999999999</v>
      </c>
      <c r="AB24" s="36">
        <v>-54.878999999999991</v>
      </c>
      <c r="AC24" s="36">
        <v>0</v>
      </c>
      <c r="AD24" s="36">
        <v>-124</v>
      </c>
      <c r="AE24" s="36">
        <v>0</v>
      </c>
      <c r="AF24" s="36">
        <v>0</v>
      </c>
      <c r="AG24" s="36">
        <v>0</v>
      </c>
      <c r="AH24" s="36">
        <v>0</v>
      </c>
      <c r="AI24" s="36">
        <v>0</v>
      </c>
      <c r="AJ24" s="36">
        <v>0</v>
      </c>
      <c r="AK24" s="36">
        <v>0</v>
      </c>
      <c r="AL24" s="36">
        <v>0</v>
      </c>
      <c r="AM24" s="36">
        <v>0</v>
      </c>
      <c r="AN24" s="36">
        <v>0</v>
      </c>
      <c r="AO24" s="36">
        <v>0</v>
      </c>
      <c r="AP24" s="36">
        <v>0</v>
      </c>
      <c r="AQ24" s="36">
        <v>0</v>
      </c>
    </row>
    <row r="25" spans="2:43" x14ac:dyDescent="0.35">
      <c r="B25" s="81" t="s">
        <v>113</v>
      </c>
      <c r="C25" s="36">
        <v>0</v>
      </c>
      <c r="D25" s="36">
        <v>0</v>
      </c>
      <c r="E25" s="36">
        <v>0</v>
      </c>
      <c r="F25" s="36">
        <v>0</v>
      </c>
      <c r="G25" s="36"/>
      <c r="H25" s="36"/>
      <c r="I25" s="36"/>
      <c r="J25" s="36"/>
      <c r="K25" s="36"/>
      <c r="L25" s="36">
        <v>125</v>
      </c>
      <c r="M25" s="36">
        <v>30</v>
      </c>
      <c r="N25" s="36">
        <v>15</v>
      </c>
      <c r="O25" s="36">
        <v>0.91954999999999998</v>
      </c>
      <c r="P25" s="36">
        <v>0</v>
      </c>
      <c r="Q25" s="36">
        <v>0</v>
      </c>
      <c r="R25" s="36">
        <v>4.8415299999999997</v>
      </c>
      <c r="S25" s="36">
        <v>0</v>
      </c>
      <c r="T25" s="36">
        <v>523.96501996999996</v>
      </c>
      <c r="U25" s="36">
        <v>214.26979401980702</v>
      </c>
      <c r="V25" s="36">
        <v>313.62725601019315</v>
      </c>
      <c r="W25" s="36">
        <v>1045.433</v>
      </c>
      <c r="X25" s="36">
        <v>140.42603550295871</v>
      </c>
      <c r="Y25" s="36">
        <v>0.84999999999990905</v>
      </c>
      <c r="Z25" s="36">
        <v>202.70000000000027</v>
      </c>
      <c r="AA25" s="36">
        <v>12.466488024841899</v>
      </c>
      <c r="AB25" s="36">
        <v>0</v>
      </c>
      <c r="AC25" s="36">
        <v>0</v>
      </c>
      <c r="AD25" s="36">
        <v>100</v>
      </c>
      <c r="AE25" s="36">
        <v>0</v>
      </c>
      <c r="AF25" s="36">
        <v>0</v>
      </c>
      <c r="AG25" s="36">
        <v>0</v>
      </c>
      <c r="AH25" s="36">
        <v>-89</v>
      </c>
      <c r="AI25" s="36">
        <v>0</v>
      </c>
      <c r="AJ25" s="36">
        <v>0</v>
      </c>
      <c r="AK25" s="36">
        <v>0</v>
      </c>
      <c r="AL25" s="36">
        <v>0</v>
      </c>
      <c r="AM25" s="36">
        <v>22</v>
      </c>
      <c r="AN25" s="36">
        <v>0</v>
      </c>
      <c r="AO25" s="36">
        <v>0</v>
      </c>
      <c r="AP25" s="36">
        <v>0</v>
      </c>
      <c r="AQ25" s="36">
        <v>0</v>
      </c>
    </row>
    <row r="26" spans="2:43" x14ac:dyDescent="0.35">
      <c r="B26" s="82" t="s">
        <v>114</v>
      </c>
      <c r="C26" s="38">
        <v>15.4572</v>
      </c>
      <c r="D26" s="38">
        <v>6.7823999999999991</v>
      </c>
      <c r="E26" s="38"/>
      <c r="F26" s="38">
        <v>195</v>
      </c>
      <c r="G26" s="38">
        <v>200</v>
      </c>
      <c r="H26" s="38">
        <v>148</v>
      </c>
      <c r="I26" s="38">
        <v>113</v>
      </c>
      <c r="J26" s="38">
        <v>109</v>
      </c>
      <c r="K26" s="38">
        <v>86</v>
      </c>
      <c r="L26" s="38">
        <v>44.618990773938435</v>
      </c>
      <c r="M26" s="38">
        <v>14.406921007132951</v>
      </c>
      <c r="N26" s="38">
        <v>0.79623837518639107</v>
      </c>
      <c r="O26" s="38">
        <v>2.6428600000000002</v>
      </c>
      <c r="P26" s="38">
        <v>0</v>
      </c>
      <c r="Q26" s="38">
        <v>3.1265431391439398</v>
      </c>
      <c r="R26" s="38">
        <v>82.181766860856058</v>
      </c>
      <c r="S26" s="38">
        <v>6</v>
      </c>
      <c r="T26" s="38">
        <v>1.7026253618407701</v>
      </c>
      <c r="U26" s="38">
        <v>213.85515278987523</v>
      </c>
      <c r="V26" s="38">
        <v>121.34381702516899</v>
      </c>
      <c r="W26" s="38">
        <v>24.117857370152379</v>
      </c>
      <c r="X26" s="38">
        <v>163.83350675380001</v>
      </c>
      <c r="Y26" s="38">
        <v>55.570190221477134</v>
      </c>
      <c r="Z26" s="38">
        <v>47.939042378757705</v>
      </c>
      <c r="AA26" s="38">
        <v>39.205135942981357</v>
      </c>
      <c r="AB26" s="38">
        <v>31.2570336891837</v>
      </c>
      <c r="AC26" s="38">
        <v>0</v>
      </c>
      <c r="AD26" s="38">
        <v>82</v>
      </c>
      <c r="AE26" s="38">
        <v>22</v>
      </c>
      <c r="AF26" s="38">
        <v>3</v>
      </c>
      <c r="AG26" s="38">
        <v>1</v>
      </c>
      <c r="AH26" s="38">
        <v>0.89999999999999858</v>
      </c>
      <c r="AI26" s="38">
        <v>0</v>
      </c>
      <c r="AJ26" s="38">
        <v>0</v>
      </c>
      <c r="AK26" s="38">
        <v>1</v>
      </c>
      <c r="AL26" s="38">
        <v>0</v>
      </c>
      <c r="AM26" s="38">
        <v>0</v>
      </c>
      <c r="AN26" s="38">
        <v>5</v>
      </c>
      <c r="AO26" s="38">
        <v>11</v>
      </c>
      <c r="AP26" s="38">
        <v>32.4</v>
      </c>
      <c r="AQ26" s="38">
        <v>34</v>
      </c>
    </row>
    <row r="27" spans="2:43" x14ac:dyDescent="0.35">
      <c r="B27" s="83" t="s">
        <v>115</v>
      </c>
      <c r="C27" s="40">
        <f t="shared" ref="C27:O27" si="4">SUM(C19:C26)</f>
        <v>-170.38050000000001</v>
      </c>
      <c r="D27" s="40">
        <f t="shared" si="4"/>
        <v>-678.51709999999991</v>
      </c>
      <c r="E27" s="40">
        <f t="shared" si="4"/>
        <v>-173</v>
      </c>
      <c r="F27" s="40">
        <f t="shared" si="4"/>
        <v>-1635</v>
      </c>
      <c r="G27" s="40">
        <f t="shared" si="4"/>
        <v>-3362</v>
      </c>
      <c r="H27" s="40">
        <f t="shared" si="4"/>
        <v>-1894.3000000000002</v>
      </c>
      <c r="I27" s="40">
        <f t="shared" si="4"/>
        <v>113</v>
      </c>
      <c r="J27" s="40">
        <f t="shared" si="4"/>
        <v>-204</v>
      </c>
      <c r="K27" s="40">
        <f t="shared" si="4"/>
        <v>-394</v>
      </c>
      <c r="L27" s="40">
        <f t="shared" si="4"/>
        <v>-1558.6919910598754</v>
      </c>
      <c r="M27" s="40">
        <f t="shared" si="4"/>
        <v>-3391.2384386651984</v>
      </c>
      <c r="N27" s="40">
        <f t="shared" si="4"/>
        <v>-30.247420118667989</v>
      </c>
      <c r="O27" s="40">
        <f t="shared" si="4"/>
        <v>-1770.93759</v>
      </c>
      <c r="P27" s="40">
        <f>SUM(P19:P26)+1</f>
        <v>-1310.5</v>
      </c>
      <c r="Q27" s="40">
        <f t="shared" ref="Q27:V27" si="5">SUM(Q19:Q26)</f>
        <v>-532.14951209338312</v>
      </c>
      <c r="R27" s="40">
        <f t="shared" si="5"/>
        <v>-1647.1107721248834</v>
      </c>
      <c r="S27" s="40">
        <f t="shared" si="5"/>
        <v>-9027.7808831234179</v>
      </c>
      <c r="T27" s="40">
        <f t="shared" si="5"/>
        <v>-11200.092525147726</v>
      </c>
      <c r="U27" s="40">
        <f t="shared" si="5"/>
        <v>-3746.2714326336863</v>
      </c>
      <c r="V27" s="40">
        <f t="shared" si="5"/>
        <v>-2790.2643670622624</v>
      </c>
      <c r="W27" s="40">
        <v>-2325.7650026298484</v>
      </c>
      <c r="X27" s="40">
        <v>-2643.3875977432394</v>
      </c>
      <c r="Y27" s="40">
        <v>-3234.3618097785229</v>
      </c>
      <c r="Z27" s="40">
        <v>-2704.1521076212421</v>
      </c>
      <c r="AA27" s="40">
        <v>-2228.3025960321766</v>
      </c>
      <c r="AB27" s="40">
        <v>-2433.3600063108202</v>
      </c>
      <c r="AC27" s="40">
        <v>-3184</v>
      </c>
      <c r="AD27" s="40">
        <v>2928</v>
      </c>
      <c r="AE27" s="40">
        <v>22</v>
      </c>
      <c r="AF27" s="40">
        <v>-62</v>
      </c>
      <c r="AG27" s="40">
        <v>-182</v>
      </c>
      <c r="AH27" s="40">
        <v>-88.1</v>
      </c>
      <c r="AI27" s="40">
        <v>-138</v>
      </c>
      <c r="AJ27" s="40">
        <v>-1091</v>
      </c>
      <c r="AK27" s="40">
        <v>-387</v>
      </c>
      <c r="AL27" s="40">
        <v>-216</v>
      </c>
      <c r="AM27" s="40">
        <f>SUM(AM19:AM26)</f>
        <v>-180</v>
      </c>
      <c r="AN27" s="40">
        <f>SUM(AN19:AN26)</f>
        <v>-130</v>
      </c>
      <c r="AO27" s="40">
        <f>SUM(AO19:AO26)</f>
        <v>-218</v>
      </c>
      <c r="AP27" s="40">
        <f>SUM(AP19:AP26)</f>
        <v>45.4</v>
      </c>
      <c r="AQ27" s="40">
        <f>SUM(AQ19:AQ26)</f>
        <v>24</v>
      </c>
    </row>
    <row r="28" spans="2:43" x14ac:dyDescent="0.35">
      <c r="B28" s="84"/>
      <c r="C28" s="51"/>
      <c r="D28" s="51"/>
      <c r="E28" s="51"/>
      <c r="F28" s="51"/>
      <c r="G28" s="51"/>
      <c r="H28" s="51"/>
      <c r="I28" s="51"/>
      <c r="J28" s="51"/>
      <c r="K28" s="51"/>
      <c r="L28" s="51"/>
      <c r="M28" s="51"/>
      <c r="N28" s="51"/>
      <c r="O28" s="51"/>
    </row>
    <row r="29" spans="2:43" x14ac:dyDescent="0.35">
      <c r="B29" s="80" t="s">
        <v>116</v>
      </c>
      <c r="C29" s="51"/>
      <c r="D29" s="51"/>
      <c r="E29" s="51"/>
      <c r="F29" s="51"/>
      <c r="G29" s="51"/>
      <c r="H29" s="51"/>
      <c r="I29" s="51"/>
      <c r="J29" s="51"/>
      <c r="K29" s="51"/>
      <c r="L29" s="51"/>
      <c r="M29" s="51"/>
      <c r="N29" s="51"/>
      <c r="O29" s="51"/>
    </row>
    <row r="30" spans="2:43" x14ac:dyDescent="0.35">
      <c r="B30" s="81" t="s">
        <v>117</v>
      </c>
      <c r="C30" s="36">
        <v>695.39800000000002</v>
      </c>
      <c r="D30" s="36">
        <v>3943</v>
      </c>
      <c r="E30" s="36">
        <v>103</v>
      </c>
      <c r="F30" s="36">
        <v>48339</v>
      </c>
      <c r="G30" s="36">
        <v>796</v>
      </c>
      <c r="H30" s="36">
        <v>2</v>
      </c>
      <c r="I30" s="36">
        <v>60</v>
      </c>
      <c r="J30" s="36">
        <f>21427+4</f>
        <v>21431</v>
      </c>
      <c r="K30" s="36">
        <v>790.4</v>
      </c>
      <c r="L30" s="36">
        <v>20342</v>
      </c>
      <c r="M30" s="36">
        <v>-24.400000000001455</v>
      </c>
      <c r="N30" s="36">
        <v>22</v>
      </c>
      <c r="O30" s="36">
        <v>40950</v>
      </c>
      <c r="P30" s="36">
        <v>596</v>
      </c>
      <c r="Q30" s="36">
        <v>103</v>
      </c>
      <c r="R30" s="36">
        <v>59475</v>
      </c>
      <c r="S30" s="36">
        <v>23.818000000000001</v>
      </c>
      <c r="T30" s="36">
        <v>445.71049671263501</v>
      </c>
      <c r="U30" s="36">
        <v>99.267461720375479</v>
      </c>
      <c r="V30" s="36">
        <v>102715.97670210968</v>
      </c>
      <c r="W30" s="36">
        <v>-15</v>
      </c>
      <c r="X30" s="36">
        <v>0</v>
      </c>
      <c r="Y30" s="36">
        <v>0</v>
      </c>
      <c r="Z30" s="36">
        <v>0</v>
      </c>
      <c r="AA30" s="36">
        <v>0</v>
      </c>
      <c r="AB30" s="36">
        <v>0</v>
      </c>
      <c r="AC30" s="36">
        <v>0</v>
      </c>
      <c r="AD30" s="36">
        <v>0</v>
      </c>
      <c r="AE30" s="36">
        <v>0</v>
      </c>
      <c r="AF30" s="36">
        <v>2642</v>
      </c>
      <c r="AG30" s="36">
        <v>7959</v>
      </c>
      <c r="AH30" s="36">
        <v>2658.2999999999993</v>
      </c>
      <c r="AI30" s="36">
        <v>8223</v>
      </c>
      <c r="AJ30" s="36">
        <v>2942</v>
      </c>
      <c r="AK30" s="36">
        <v>14034</v>
      </c>
      <c r="AL30" s="36">
        <v>-27</v>
      </c>
      <c r="AM30" s="36">
        <v>10915</v>
      </c>
      <c r="AN30" s="36">
        <v>2515</v>
      </c>
      <c r="AO30" s="36">
        <v>1340</v>
      </c>
      <c r="AP30" s="36">
        <v>5152</v>
      </c>
      <c r="AQ30" s="36">
        <v>4678</v>
      </c>
    </row>
    <row r="31" spans="2:43" x14ac:dyDescent="0.35">
      <c r="B31" s="81" t="s">
        <v>118</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v>13200</v>
      </c>
      <c r="AD31" s="36">
        <v>0</v>
      </c>
      <c r="AE31" s="36">
        <v>0</v>
      </c>
      <c r="AF31" s="36">
        <v>0</v>
      </c>
      <c r="AG31" s="36">
        <v>0</v>
      </c>
      <c r="AH31" s="36">
        <v>0</v>
      </c>
      <c r="AI31" s="36">
        <v>0</v>
      </c>
      <c r="AJ31" s="36">
        <v>0</v>
      </c>
      <c r="AK31" s="36">
        <v>0</v>
      </c>
      <c r="AL31" s="36">
        <v>0</v>
      </c>
      <c r="AM31" s="36">
        <v>0</v>
      </c>
      <c r="AN31" s="36">
        <v>0</v>
      </c>
      <c r="AO31" s="36">
        <v>4773</v>
      </c>
      <c r="AP31" s="36">
        <v>0</v>
      </c>
      <c r="AQ31" s="36">
        <v>0</v>
      </c>
    </row>
    <row r="32" spans="2:43" x14ac:dyDescent="0.35">
      <c r="B32" s="81" t="s">
        <v>119</v>
      </c>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v>-558</v>
      </c>
      <c r="AE32" s="36">
        <v>0</v>
      </c>
      <c r="AF32" s="36">
        <v>0</v>
      </c>
      <c r="AG32" s="36">
        <v>0</v>
      </c>
      <c r="AH32" s="36">
        <v>0</v>
      </c>
      <c r="AI32" s="36">
        <v>0</v>
      </c>
      <c r="AJ32" s="36">
        <v>0</v>
      </c>
      <c r="AK32" s="36">
        <v>0</v>
      </c>
      <c r="AL32" s="36">
        <v>0</v>
      </c>
      <c r="AM32" s="36">
        <v>0</v>
      </c>
      <c r="AN32" s="36">
        <v>0</v>
      </c>
      <c r="AO32" s="36">
        <v>0</v>
      </c>
      <c r="AP32" s="36">
        <v>0</v>
      </c>
      <c r="AQ32" s="36">
        <v>0</v>
      </c>
    </row>
    <row r="33" spans="2:43" x14ac:dyDescent="0.35">
      <c r="B33" s="81" t="s">
        <v>120</v>
      </c>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v>-1525</v>
      </c>
      <c r="AE33" s="36">
        <v>-720</v>
      </c>
      <c r="AF33" s="36">
        <v>-746</v>
      </c>
      <c r="AG33" s="36">
        <v>-852</v>
      </c>
      <c r="AH33" s="36">
        <v>-868</v>
      </c>
      <c r="AI33" s="36">
        <v>-760</v>
      </c>
      <c r="AJ33" s="36">
        <v>-753</v>
      </c>
      <c r="AK33" s="36">
        <v>-728</v>
      </c>
      <c r="AL33" s="36">
        <v>-958</v>
      </c>
      <c r="AM33" s="36">
        <v>-621</v>
      </c>
      <c r="AN33" s="36">
        <v>-576</v>
      </c>
      <c r="AO33" s="36">
        <v>-682</v>
      </c>
      <c r="AP33" s="36">
        <v>-502</v>
      </c>
      <c r="AQ33" s="36">
        <v>-659</v>
      </c>
    </row>
    <row r="34" spans="2:43" x14ac:dyDescent="0.35">
      <c r="B34" s="82" t="s">
        <v>121</v>
      </c>
      <c r="C34" s="38">
        <v>0</v>
      </c>
      <c r="D34" s="38">
        <v>0</v>
      </c>
      <c r="E34" s="38">
        <v>0</v>
      </c>
      <c r="F34" s="38">
        <v>0</v>
      </c>
      <c r="G34" s="38">
        <v>0</v>
      </c>
      <c r="H34" s="38">
        <v>0</v>
      </c>
      <c r="I34" s="38">
        <v>0</v>
      </c>
      <c r="J34" s="38">
        <v>0</v>
      </c>
      <c r="K34" s="38">
        <v>0</v>
      </c>
      <c r="L34" s="38">
        <v>0</v>
      </c>
      <c r="M34" s="38">
        <v>0</v>
      </c>
      <c r="N34" s="38">
        <v>0</v>
      </c>
      <c r="O34" s="38">
        <v>0</v>
      </c>
      <c r="P34" s="38">
        <v>0</v>
      </c>
      <c r="Q34" s="38">
        <v>0</v>
      </c>
      <c r="R34" s="38">
        <v>0</v>
      </c>
      <c r="S34" s="38">
        <v>0</v>
      </c>
      <c r="T34" s="38">
        <v>-188.00899999999999</v>
      </c>
      <c r="U34" s="38">
        <v>-132.37199999999999</v>
      </c>
      <c r="V34" s="38">
        <v>-135.66712999999896</v>
      </c>
      <c r="W34" s="38">
        <v>-138.19742999999971</v>
      </c>
      <c r="X34" s="38">
        <v>-169.10817999999966</v>
      </c>
      <c r="Y34" s="38">
        <v>-172.56617999999975</v>
      </c>
      <c r="Z34" s="38">
        <v>-120.31312000000105</v>
      </c>
      <c r="AA34" s="38">
        <v>-458.43600000000004</v>
      </c>
      <c r="AB34" s="38">
        <v>-16.288733478439781</v>
      </c>
      <c r="AC34" s="38">
        <v>-238</v>
      </c>
      <c r="AD34" s="38">
        <v>-147</v>
      </c>
      <c r="AE34" s="38">
        <v>-236</v>
      </c>
      <c r="AF34" s="38">
        <v>-240</v>
      </c>
      <c r="AG34" s="38">
        <v>-245</v>
      </c>
      <c r="AH34" s="38">
        <v>-239</v>
      </c>
      <c r="AI34" s="38">
        <v>-251</v>
      </c>
      <c r="AJ34" s="38">
        <v>-256</v>
      </c>
      <c r="AK34" s="38">
        <v>-2699</v>
      </c>
      <c r="AL34" s="38">
        <v>-1204</v>
      </c>
      <c r="AM34" s="38">
        <v>-307</v>
      </c>
      <c r="AN34" s="38">
        <v>-2235</v>
      </c>
      <c r="AO34" s="38">
        <v>-1341</v>
      </c>
      <c r="AP34" s="38">
        <v>-340</v>
      </c>
      <c r="AQ34" s="38">
        <v>-345</v>
      </c>
    </row>
    <row r="35" spans="2:43" x14ac:dyDescent="0.35">
      <c r="B35" s="83" t="s">
        <v>122</v>
      </c>
      <c r="C35" s="40">
        <f t="shared" ref="C35:U35" si="6">SUM(C30:C34)</f>
        <v>695.39800000000002</v>
      </c>
      <c r="D35" s="40">
        <f t="shared" si="6"/>
        <v>3943</v>
      </c>
      <c r="E35" s="40">
        <f t="shared" si="6"/>
        <v>103</v>
      </c>
      <c r="F35" s="40">
        <f t="shared" si="6"/>
        <v>48339</v>
      </c>
      <c r="G35" s="40">
        <f t="shared" si="6"/>
        <v>796</v>
      </c>
      <c r="H35" s="40">
        <f t="shared" si="6"/>
        <v>2</v>
      </c>
      <c r="I35" s="40">
        <f t="shared" si="6"/>
        <v>60</v>
      </c>
      <c r="J35" s="40">
        <f t="shared" si="6"/>
        <v>21431</v>
      </c>
      <c r="K35" s="40">
        <f t="shared" si="6"/>
        <v>790.4</v>
      </c>
      <c r="L35" s="40">
        <f t="shared" si="6"/>
        <v>20342</v>
      </c>
      <c r="M35" s="40">
        <f t="shared" si="6"/>
        <v>-24.400000000001455</v>
      </c>
      <c r="N35" s="40">
        <f t="shared" si="6"/>
        <v>22</v>
      </c>
      <c r="O35" s="40">
        <f t="shared" si="6"/>
        <v>40950</v>
      </c>
      <c r="P35" s="40">
        <f t="shared" si="6"/>
        <v>596</v>
      </c>
      <c r="Q35" s="40">
        <f t="shared" si="6"/>
        <v>103</v>
      </c>
      <c r="R35" s="40">
        <f t="shared" si="6"/>
        <v>59475</v>
      </c>
      <c r="S35" s="40">
        <f t="shared" si="6"/>
        <v>23.818000000000001</v>
      </c>
      <c r="T35" s="40">
        <f t="shared" si="6"/>
        <v>257.70149671263505</v>
      </c>
      <c r="U35" s="40">
        <f t="shared" si="6"/>
        <v>-33.104538279624506</v>
      </c>
      <c r="V35" s="40">
        <f>SUM(V30:V34)</f>
        <v>102580.30957210968</v>
      </c>
      <c r="W35" s="40">
        <v>-153.19742999999971</v>
      </c>
      <c r="X35" s="40">
        <v>-169.10817999999966</v>
      </c>
      <c r="Y35" s="40">
        <v>-172.56617999999975</v>
      </c>
      <c r="Z35" s="40">
        <v>-120.31312000000105</v>
      </c>
      <c r="AA35" s="40">
        <v>-458.43600000000004</v>
      </c>
      <c r="AB35" s="40">
        <v>-16.288733478439781</v>
      </c>
      <c r="AC35" s="40">
        <v>12962</v>
      </c>
      <c r="AD35" s="40">
        <v>-2230</v>
      </c>
      <c r="AE35" s="40">
        <v>-956</v>
      </c>
      <c r="AF35" s="40">
        <v>1656</v>
      </c>
      <c r="AG35" s="40">
        <f>SUM(AG30:AG34)</f>
        <v>6862</v>
      </c>
      <c r="AH35" s="40">
        <v>1551.2999999999993</v>
      </c>
      <c r="AI35" s="40">
        <v>7212</v>
      </c>
      <c r="AJ35" s="40">
        <v>1933</v>
      </c>
      <c r="AK35" s="40">
        <f t="shared" ref="AK35:AP35" si="7">SUM(AK30:AK34)</f>
        <v>10607</v>
      </c>
      <c r="AL35" s="40">
        <f t="shared" si="7"/>
        <v>-2189</v>
      </c>
      <c r="AM35" s="40">
        <f t="shared" si="7"/>
        <v>9987</v>
      </c>
      <c r="AN35" s="40">
        <f t="shared" si="7"/>
        <v>-296</v>
      </c>
      <c r="AO35" s="40">
        <f t="shared" si="7"/>
        <v>4090</v>
      </c>
      <c r="AP35" s="40">
        <f t="shared" si="7"/>
        <v>4310</v>
      </c>
      <c r="AQ35" s="40">
        <f t="shared" ref="AQ35" si="8">SUM(AQ30:AQ34)</f>
        <v>3674</v>
      </c>
    </row>
    <row r="36" spans="2:43" x14ac:dyDescent="0.35">
      <c r="B36" s="81"/>
      <c r="C36" s="41"/>
      <c r="D36" s="41"/>
      <c r="E36" s="41"/>
      <c r="F36" s="41"/>
      <c r="G36" s="41"/>
      <c r="H36" s="41"/>
      <c r="I36" s="41"/>
      <c r="J36" s="41"/>
      <c r="K36" s="41"/>
      <c r="L36" s="41"/>
      <c r="M36" s="41"/>
      <c r="N36" s="41"/>
      <c r="O36" s="41"/>
    </row>
    <row r="37" spans="2:43" ht="26" x14ac:dyDescent="0.35">
      <c r="B37" s="82" t="s">
        <v>123</v>
      </c>
      <c r="C37" s="38">
        <v>-170.92150000000001</v>
      </c>
      <c r="D37" s="38">
        <v>-262.41343475181799</v>
      </c>
      <c r="E37" s="38">
        <v>240.6</v>
      </c>
      <c r="F37" s="38">
        <v>-2840.8120000000049</v>
      </c>
      <c r="G37" s="38">
        <v>495.04540000000395</v>
      </c>
      <c r="H37" s="38">
        <v>-741.54600000000062</v>
      </c>
      <c r="I37" s="38">
        <v>-1368</v>
      </c>
      <c r="J37" s="38">
        <f>-3896.704</f>
        <v>-3896.7040000000002</v>
      </c>
      <c r="K37" s="38">
        <v>-2414.6</v>
      </c>
      <c r="L37" s="38">
        <v>812.78751124981068</v>
      </c>
      <c r="M37" s="38">
        <v>-2107.7997853959805</v>
      </c>
      <c r="N37" s="38">
        <v>-894</v>
      </c>
      <c r="O37" s="38">
        <f>27007.607*(0.12064-0.11359)+0.443457*(0.1229-0.1188)+15781.77091*(0.1229-0.1188)+0.30809067*(0.128952-0.129016)</f>
        <v>255.11068853689702</v>
      </c>
      <c r="P37" s="38">
        <v>-80.176141634732232</v>
      </c>
      <c r="Q37" s="38">
        <v>67.550517940389881</v>
      </c>
      <c r="R37" s="38">
        <v>-309.88166926830274</v>
      </c>
      <c r="S37" s="38">
        <v>279.67439818826347</v>
      </c>
      <c r="T37" s="38">
        <v>-160.72658399512574</v>
      </c>
      <c r="U37" s="38">
        <v>58.931915203070758</v>
      </c>
      <c r="V37" s="38">
        <v>-7.5799335623842001</v>
      </c>
      <c r="W37" s="38">
        <v>4262.1192477386185</v>
      </c>
      <c r="X37" s="38">
        <v>-2021.4272527460712</v>
      </c>
      <c r="Y37" s="38">
        <v>-372.99826147029921</v>
      </c>
      <c r="Z37" s="38">
        <v>-3457.4555912091082</v>
      </c>
      <c r="AA37" s="38">
        <v>126.24797921123837</v>
      </c>
      <c r="AB37" s="38">
        <v>-110.86649164567027</v>
      </c>
      <c r="AC37" s="38">
        <v>-134</v>
      </c>
      <c r="AD37" s="38">
        <v>0</v>
      </c>
      <c r="AE37" s="38">
        <v>0</v>
      </c>
      <c r="AF37" s="38">
        <v>0</v>
      </c>
      <c r="AG37" s="38">
        <v>0</v>
      </c>
      <c r="AH37" s="38">
        <v>0</v>
      </c>
      <c r="AI37" s="38">
        <v>0</v>
      </c>
      <c r="AJ37" s="38">
        <v>0</v>
      </c>
      <c r="AK37" s="38">
        <v>0</v>
      </c>
      <c r="AL37" s="38">
        <v>0</v>
      </c>
      <c r="AM37" s="38">
        <v>0</v>
      </c>
      <c r="AN37" s="38">
        <v>0</v>
      </c>
      <c r="AO37" s="38">
        <v>0</v>
      </c>
      <c r="AP37" s="38">
        <v>0</v>
      </c>
      <c r="AQ37" s="38">
        <v>0</v>
      </c>
    </row>
    <row r="38" spans="2:43" ht="26.5" x14ac:dyDescent="0.35">
      <c r="B38" s="83" t="s">
        <v>124</v>
      </c>
      <c r="C38" s="40">
        <f t="shared" ref="C38:V38" si="9">C16+C27+C35+C37</f>
        <v>-2193.85819915</v>
      </c>
      <c r="D38" s="40">
        <f t="shared" si="9"/>
        <v>1536.5323806865154</v>
      </c>
      <c r="E38" s="40">
        <f t="shared" si="9"/>
        <v>-3131.7000000000003</v>
      </c>
      <c r="F38" s="40">
        <f t="shared" si="9"/>
        <v>41691.987999999998</v>
      </c>
      <c r="G38" s="40">
        <f t="shared" si="9"/>
        <v>-8988.9545999999955</v>
      </c>
      <c r="H38" s="40">
        <f t="shared" si="9"/>
        <v>-8037.6160000000009</v>
      </c>
      <c r="I38" s="40">
        <f t="shared" si="9"/>
        <v>-6862</v>
      </c>
      <c r="J38" s="40">
        <f t="shared" si="9"/>
        <v>10939.296</v>
      </c>
      <c r="K38" s="40">
        <f t="shared" si="9"/>
        <v>-7312.1100000000024</v>
      </c>
      <c r="L38" s="40">
        <f t="shared" si="9"/>
        <v>12778.750088490751</v>
      </c>
      <c r="M38" s="40">
        <f t="shared" si="9"/>
        <v>-11669.11974105059</v>
      </c>
      <c r="N38" s="40">
        <f t="shared" si="9"/>
        <v>-8680.9412007432584</v>
      </c>
      <c r="O38" s="40">
        <f t="shared" si="9"/>
        <v>33181.574204776894</v>
      </c>
      <c r="P38" s="40">
        <f t="shared" si="9"/>
        <v>-12311.616573639332</v>
      </c>
      <c r="Q38" s="40">
        <f t="shared" si="9"/>
        <v>-9686.1281685448193</v>
      </c>
      <c r="R38" s="40">
        <f t="shared" si="9"/>
        <v>47082.496246565424</v>
      </c>
      <c r="S38" s="40">
        <f t="shared" si="9"/>
        <v>-21607.753624159599</v>
      </c>
      <c r="T38" s="40">
        <f t="shared" si="9"/>
        <v>-24417.683897251583</v>
      </c>
      <c r="U38" s="40">
        <f t="shared" si="9"/>
        <v>-15322.695465829913</v>
      </c>
      <c r="V38" s="40">
        <f t="shared" si="9"/>
        <v>85263.741456173389</v>
      </c>
      <c r="W38" s="40">
        <v>-10527.257049481726</v>
      </c>
      <c r="X38" s="40">
        <v>-21364.72532958836</v>
      </c>
      <c r="Y38" s="40">
        <v>-18153.819560568056</v>
      </c>
      <c r="Z38" s="40">
        <v>-15485.753763013068</v>
      </c>
      <c r="AA38" s="40">
        <v>-12543.364549167594</v>
      </c>
      <c r="AB38" s="40">
        <v>-11605.5510824057</v>
      </c>
      <c r="AC38" s="40">
        <v>4581</v>
      </c>
      <c r="AD38" s="40">
        <v>-4148</v>
      </c>
      <c r="AE38" s="40">
        <v>-4307</v>
      </c>
      <c r="AF38" s="40">
        <v>-902</v>
      </c>
      <c r="AG38" s="40">
        <v>3384</v>
      </c>
      <c r="AH38" s="40">
        <v>-1256.8000000000006</v>
      </c>
      <c r="AI38" s="40">
        <v>3628</v>
      </c>
      <c r="AJ38" s="40">
        <v>-2365</v>
      </c>
      <c r="AK38" s="40">
        <v>5997</v>
      </c>
      <c r="AL38" s="40">
        <v>-6197</v>
      </c>
      <c r="AM38" s="40">
        <v>4821</v>
      </c>
      <c r="AN38" s="40">
        <f>AN35+AN27+AN16</f>
        <v>-5815</v>
      </c>
      <c r="AO38" s="40">
        <f>AO35+AO27+AO16</f>
        <v>-1171</v>
      </c>
      <c r="AP38" s="40">
        <f>AP35+AP27+AP16</f>
        <v>275.39999999999964</v>
      </c>
      <c r="AQ38" s="40">
        <f>AQ35+AQ27+AQ16</f>
        <v>-180</v>
      </c>
    </row>
    <row r="39" spans="2:43" ht="26" x14ac:dyDescent="0.35">
      <c r="B39" s="82" t="s">
        <v>125</v>
      </c>
      <c r="C39" s="36">
        <v>5899.8600000000006</v>
      </c>
      <c r="D39" s="36">
        <v>3705.8233008500001</v>
      </c>
      <c r="E39" s="36">
        <v>5242.3556815365155</v>
      </c>
      <c r="F39" s="36">
        <v>2110.6556815365152</v>
      </c>
      <c r="G39" s="36">
        <v>43803</v>
      </c>
      <c r="H39" s="36">
        <v>34814.045400000003</v>
      </c>
      <c r="I39" s="36">
        <v>26777.429400000001</v>
      </c>
      <c r="J39" s="36">
        <v>19914.987400000002</v>
      </c>
      <c r="K39" s="36">
        <v>30854</v>
      </c>
      <c r="L39" s="36">
        <v>23542</v>
      </c>
      <c r="M39" s="36">
        <v>36291</v>
      </c>
      <c r="N39" s="36">
        <v>24622</v>
      </c>
      <c r="O39" s="36">
        <v>15940</v>
      </c>
      <c r="P39" s="38">
        <v>49121.574204776894</v>
      </c>
      <c r="Q39" s="38">
        <v>36809.2657760945</v>
      </c>
      <c r="R39" s="38">
        <v>27122.170307137378</v>
      </c>
      <c r="S39" s="38">
        <v>74204.666553702802</v>
      </c>
      <c r="T39" s="38">
        <v>52596.912929543207</v>
      </c>
      <c r="U39" s="38">
        <v>28179</v>
      </c>
      <c r="V39" s="38">
        <v>12856.304534170087</v>
      </c>
      <c r="W39" s="38">
        <v>98119.873338694393</v>
      </c>
      <c r="X39" s="38">
        <v>87592.659729212668</v>
      </c>
      <c r="Y39" s="38">
        <v>66227.934399624311</v>
      </c>
      <c r="Z39" s="38">
        <v>48074.114839056252</v>
      </c>
      <c r="AA39" s="38">
        <v>32587.614936043174</v>
      </c>
      <c r="AB39" s="38">
        <v>20045.276979843293</v>
      </c>
      <c r="AC39" s="38">
        <v>8439</v>
      </c>
      <c r="AD39" s="38">
        <v>13020</v>
      </c>
      <c r="AE39" s="38">
        <v>8872</v>
      </c>
      <c r="AF39" s="38">
        <v>4565</v>
      </c>
      <c r="AG39" s="38">
        <f>AF40</f>
        <v>3663</v>
      </c>
      <c r="AH39" s="38">
        <v>7047</v>
      </c>
      <c r="AI39" s="38">
        <v>5790</v>
      </c>
      <c r="AJ39" s="38">
        <v>9418</v>
      </c>
      <c r="AK39" s="38">
        <v>7053</v>
      </c>
      <c r="AL39" s="38">
        <f>AK40</f>
        <v>13050</v>
      </c>
      <c r="AM39" s="38">
        <f>AL40</f>
        <v>6853</v>
      </c>
      <c r="AN39" s="38">
        <f>AM40</f>
        <v>11674</v>
      </c>
      <c r="AO39" s="38">
        <f>AN40</f>
        <v>5859</v>
      </c>
      <c r="AP39" s="38">
        <f>AO40</f>
        <v>4688</v>
      </c>
      <c r="AQ39" s="38">
        <f>AP40</f>
        <v>4963.3999999999996</v>
      </c>
    </row>
    <row r="40" spans="2:43" ht="24" customHeight="1" thickBot="1" x14ac:dyDescent="0.4">
      <c r="B40" s="85" t="s">
        <v>126</v>
      </c>
      <c r="C40" s="45">
        <f t="shared" ref="C40:J40" si="10">SUM(C38:C39)</f>
        <v>3706.0018008500006</v>
      </c>
      <c r="D40" s="45">
        <f t="shared" si="10"/>
        <v>5242.3556815365155</v>
      </c>
      <c r="E40" s="45">
        <f t="shared" si="10"/>
        <v>2110.6556815365152</v>
      </c>
      <c r="F40" s="45">
        <f t="shared" si="10"/>
        <v>43802.643681536516</v>
      </c>
      <c r="G40" s="45">
        <f t="shared" si="10"/>
        <v>34814.045400000003</v>
      </c>
      <c r="H40" s="45">
        <f t="shared" si="10"/>
        <v>26776.429400000001</v>
      </c>
      <c r="I40" s="45">
        <f t="shared" si="10"/>
        <v>19915.429400000001</v>
      </c>
      <c r="J40" s="45">
        <f t="shared" si="10"/>
        <v>30854.2834</v>
      </c>
      <c r="K40" s="45">
        <f>SUM(K38:K39)</f>
        <v>23541.89</v>
      </c>
      <c r="L40" s="45">
        <f>SUM(L38:L39)</f>
        <v>36320.750088490749</v>
      </c>
      <c r="M40" s="45">
        <f>SUM(M38:M39)</f>
        <v>24621.880258949408</v>
      </c>
      <c r="N40" s="45">
        <f>SUM(N38:N39)-1</f>
        <v>15940.058799256742</v>
      </c>
      <c r="O40" s="45">
        <f>SUM(O38:O39)</f>
        <v>49121.574204776894</v>
      </c>
      <c r="P40" s="45">
        <f>SUM(P38:P39)-1</f>
        <v>36808.957631137564</v>
      </c>
      <c r="Q40" s="45">
        <f>SUM(Q38:Q39)-1</f>
        <v>27122.137607549681</v>
      </c>
      <c r="R40" s="45">
        <f>SUM(R38:R39)</f>
        <v>74204.666553702802</v>
      </c>
      <c r="S40" s="45">
        <f>SUM(S38:S39)</f>
        <v>52596.912929543207</v>
      </c>
      <c r="T40" s="45">
        <f>SUM(T38:T39)</f>
        <v>28179.229032291623</v>
      </c>
      <c r="U40" s="45">
        <f>SUM(U38:U39)</f>
        <v>12856.304534170087</v>
      </c>
      <c r="V40" s="45">
        <f>SUM(V38:V39)</f>
        <v>98120.045990343482</v>
      </c>
      <c r="W40" s="45">
        <v>87592.616289212659</v>
      </c>
      <c r="X40" s="45">
        <v>66227.934399624311</v>
      </c>
      <c r="Y40" s="45">
        <v>48074.114839056259</v>
      </c>
      <c r="Z40" s="45">
        <v>32588</v>
      </c>
      <c r="AA40" s="45">
        <v>20045.276979843293</v>
      </c>
      <c r="AB40" s="45">
        <v>8438.5020044698704</v>
      </c>
      <c r="AC40" s="45">
        <v>13020</v>
      </c>
      <c r="AD40" s="45">
        <v>8872</v>
      </c>
      <c r="AE40" s="45">
        <v>4565</v>
      </c>
      <c r="AF40" s="45">
        <v>3663</v>
      </c>
      <c r="AG40" s="45">
        <f>AG39+AG38</f>
        <v>7047</v>
      </c>
      <c r="AH40" s="45">
        <v>5790.1999999999989</v>
      </c>
      <c r="AI40" s="45">
        <v>9418</v>
      </c>
      <c r="AJ40" s="45">
        <v>7053</v>
      </c>
      <c r="AK40" s="45">
        <f t="shared" ref="AK40:AP40" si="11">AK39+AK38</f>
        <v>13050</v>
      </c>
      <c r="AL40" s="45">
        <f t="shared" si="11"/>
        <v>6853</v>
      </c>
      <c r="AM40" s="45">
        <f t="shared" si="11"/>
        <v>11674</v>
      </c>
      <c r="AN40" s="45">
        <f t="shared" si="11"/>
        <v>5859</v>
      </c>
      <c r="AO40" s="45">
        <f t="shared" si="11"/>
        <v>4688</v>
      </c>
      <c r="AP40" s="45">
        <f t="shared" si="11"/>
        <v>4963.3999999999996</v>
      </c>
      <c r="AQ40" s="45">
        <f t="shared" ref="AQ40" si="12">AQ39+AQ38</f>
        <v>4783.3999999999996</v>
      </c>
    </row>
    <row r="41" spans="2:43" ht="15" thickTop="1" x14ac:dyDescent="0.35">
      <c r="B41" s="86"/>
      <c r="C41" s="52"/>
      <c r="D41" s="52"/>
      <c r="E41" s="52"/>
      <c r="F41" s="52"/>
      <c r="G41" s="52"/>
      <c r="H41" s="52"/>
      <c r="I41" s="52"/>
      <c r="J41" s="52"/>
      <c r="K41" s="52"/>
      <c r="L41" s="52"/>
      <c r="M41" s="52"/>
      <c r="N41" s="52"/>
      <c r="O41" s="52"/>
    </row>
    <row r="42" spans="2:43" x14ac:dyDescent="0.35">
      <c r="K42" s="36"/>
      <c r="L42" s="36"/>
      <c r="M42" s="36"/>
      <c r="N42" s="36"/>
      <c r="O42" s="36"/>
      <c r="T42" s="28"/>
      <c r="U42" s="28"/>
      <c r="V42" s="28"/>
    </row>
    <row r="43" spans="2:43" x14ac:dyDescent="0.35">
      <c r="K43" s="36"/>
      <c r="L43" s="36"/>
      <c r="M43" s="36"/>
      <c r="N43" s="36"/>
      <c r="O43" s="36"/>
      <c r="T43" s="28"/>
    </row>
    <row r="44" spans="2:43" x14ac:dyDescent="0.35">
      <c r="K44" s="28"/>
    </row>
  </sheetData>
  <pageMargins left="0.7" right="0.7" top="0.75" bottom="0.75" header="0.3" footer="0.3"/>
  <pageSetup paperSize="9" scale="62" fitToHeight="0"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bc69c61-1c76-4d3d-9c90-781a6a806228">
      <Terms xmlns="http://schemas.microsoft.com/office/infopath/2007/PartnerControls"/>
    </lcf76f155ced4ddcb4097134ff3c332f>
    <TaxCatchAll xmlns="d94e1bdf-6a6c-48db-b6e7-faa024d4fd5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FB7FD92DA1D9D4D8455FD61C1FDF112" ma:contentTypeVersion="13" ma:contentTypeDescription="Create a new document." ma:contentTypeScope="" ma:versionID="7aee1cf5b00cf87d2f5ed880527b2443">
  <xsd:schema xmlns:xsd="http://www.w3.org/2001/XMLSchema" xmlns:xs="http://www.w3.org/2001/XMLSchema" xmlns:p="http://schemas.microsoft.com/office/2006/metadata/properties" xmlns:ns2="4bc69c61-1c76-4d3d-9c90-781a6a806228" xmlns:ns3="d94e1bdf-6a6c-48db-b6e7-faa024d4fd59" targetNamespace="http://schemas.microsoft.com/office/2006/metadata/properties" ma:root="true" ma:fieldsID="ecb3e632297ec8c95a87a054b14e860c" ns2:_="" ns3:_="">
    <xsd:import namespace="4bc69c61-1c76-4d3d-9c90-781a6a806228"/>
    <xsd:import namespace="d94e1bdf-6a6c-48db-b6e7-faa024d4fd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c69c61-1c76-4d3d-9c90-781a6a8062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cda78c4-e79b-49ed-8005-e2684e92685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4e1bdf-6a6c-48db-b6e7-faa024d4fd5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c284f30-7a18-4278-9749-a3d97fd1263a}" ma:internalName="TaxCatchAll" ma:showField="CatchAllData" ma:web="d94e1bdf-6a6c-48db-b6e7-faa024d4fd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843799-0E51-42F8-9A30-1002E32B8E4D}">
  <ds:schemaRefs>
    <ds:schemaRef ds:uri="http://schemas.microsoft.com/sharepoint/v3/contenttype/forms"/>
  </ds:schemaRefs>
</ds:datastoreItem>
</file>

<file path=customXml/itemProps2.xml><?xml version="1.0" encoding="utf-8"?>
<ds:datastoreItem xmlns:ds="http://schemas.openxmlformats.org/officeDocument/2006/customXml" ds:itemID="{5B41ED11-BD3A-4073-AEFE-7E2D01A02B7C}">
  <ds:schemaRefs>
    <ds:schemaRef ds:uri="http://purl.org/dc/dcmitype/"/>
    <ds:schemaRef ds:uri="http://www.w3.org/XML/1998/namespace"/>
    <ds:schemaRef ds:uri="http://purl.org/dc/terms/"/>
    <ds:schemaRef ds:uri="http://schemas.microsoft.com/office/2006/metadata/properties"/>
    <ds:schemaRef ds:uri="4bc69c61-1c76-4d3d-9c90-781a6a806228"/>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d94e1bdf-6a6c-48db-b6e7-faa024d4fd59"/>
  </ds:schemaRefs>
</ds:datastoreItem>
</file>

<file path=customXml/itemProps3.xml><?xml version="1.0" encoding="utf-8"?>
<ds:datastoreItem xmlns:ds="http://schemas.openxmlformats.org/officeDocument/2006/customXml" ds:itemID="{11E4CD06-02CF-4F51-A742-295227B2CB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c69c61-1c76-4d3d-9c90-781a6a806228"/>
    <ds:schemaRef ds:uri="d94e1bdf-6a6c-48db-b6e7-faa024d4fd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PL</vt:lpstr>
      <vt:lpstr>BS</vt:lpstr>
      <vt:lpstr>CF</vt:lpstr>
      <vt:lpstr>BS!Print_Area</vt:lpstr>
      <vt:lpstr>CF!Print_Area</vt:lpstr>
      <vt:lpstr>PL!Print_Area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ajmj2;BRivera</dc:creator>
  <cp:keywords/>
  <dc:description/>
  <cp:lastModifiedBy>Becky Rivera</cp:lastModifiedBy>
  <cp:revision/>
  <dcterms:created xsi:type="dcterms:W3CDTF">2018-01-29T14:18:55Z</dcterms:created>
  <dcterms:modified xsi:type="dcterms:W3CDTF">2023-05-23T05:21:50Z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0x0101002FB7FD92DA1D9D4D8455FD61C1FDF112</vt:lpwstr>
  </property>
  <property fmtid="{D5CDD505-2E9C-101B-9397-08002B2CF9AE}" pid="3" name="MediaServiceImageTags">
    <vt:lpwstr/>
  </property>
</Properties>
</file>